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еконструкция ГРС Турец\"/>
    </mc:Choice>
  </mc:AlternateContent>
  <bookViews>
    <workbookView xWindow="0" yWindow="0" windowWidth="28800" windowHeight="12045" tabRatio="545" firstSheet="1" activeTab="1"/>
  </bookViews>
  <sheets>
    <sheet name="УООП" sheetId="1" state="hidden" r:id="rId1"/>
    <sheet name="График платежей" sheetId="4" r:id="rId2"/>
  </sheets>
  <definedNames>
    <definedName name="_xlnm.Print_Titles" localSheetId="0">УООП!$6:$6</definedName>
    <definedName name="_xlnm.Print_Area" localSheetId="1">'График платежей'!$A$1:$G$30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4" l="1"/>
  <c r="G16" i="4"/>
  <c r="M80" i="1"/>
  <c r="L105" i="1" l="1"/>
  <c r="L121" i="1"/>
  <c r="L123" i="1"/>
  <c r="D17" i="4" l="1"/>
  <c r="L104" i="1"/>
  <c r="L103" i="1"/>
  <c r="L102" i="1"/>
  <c r="L101" i="1"/>
  <c r="Q105" i="1"/>
  <c r="K101" i="1"/>
  <c r="L122" i="1"/>
  <c r="L126" i="1"/>
  <c r="K105" i="1"/>
  <c r="M135" i="1" l="1"/>
  <c r="M118" i="1"/>
  <c r="M69" i="1"/>
  <c r="M39" i="1"/>
  <c r="M31" i="1"/>
  <c r="M15" i="1"/>
  <c r="M7" i="1"/>
  <c r="K103" i="1"/>
  <c r="K102" i="1"/>
  <c r="L16" i="1"/>
  <c r="M18" i="1" s="1"/>
  <c r="L77" i="1"/>
  <c r="L128" i="1"/>
  <c r="L12" i="1"/>
  <c r="L130" i="1"/>
  <c r="K91" i="1"/>
  <c r="K90" i="1"/>
  <c r="K104" i="1"/>
  <c r="L106" i="1"/>
  <c r="K106" i="1"/>
  <c r="L114" i="1"/>
  <c r="L113" i="1"/>
  <c r="L112" i="1"/>
  <c r="L109" i="1"/>
  <c r="N18" i="1" l="1"/>
  <c r="AN101" i="1"/>
  <c r="Q101" i="1" s="1"/>
  <c r="M17" i="1"/>
  <c r="N86" i="1"/>
  <c r="L127" i="1"/>
  <c r="K123" i="1"/>
  <c r="K122" i="1"/>
  <c r="K121" i="1"/>
  <c r="L132" i="1"/>
  <c r="M152" i="1"/>
  <c r="N152" i="1" s="1"/>
  <c r="M151" i="1"/>
  <c r="N151" i="1" s="1"/>
  <c r="M150" i="1"/>
  <c r="N150" i="1" s="1"/>
  <c r="M149" i="1"/>
  <c r="N149" i="1" s="1"/>
  <c r="M148" i="1"/>
  <c r="N148" i="1" s="1"/>
  <c r="M147" i="1"/>
  <c r="N147" i="1" s="1"/>
  <c r="M146" i="1"/>
  <c r="N146" i="1" s="1"/>
  <c r="M145" i="1"/>
  <c r="N145" i="1" s="1"/>
  <c r="M144" i="1"/>
  <c r="N144" i="1" s="1"/>
  <c r="M143" i="1"/>
  <c r="N143" i="1" s="1"/>
  <c r="M142" i="1"/>
  <c r="N142" i="1" s="1"/>
  <c r="L141" i="1"/>
  <c r="L76" i="1"/>
  <c r="K76" i="1"/>
  <c r="L29" i="1"/>
  <c r="L13" i="1"/>
  <c r="L14" i="1"/>
  <c r="L9" i="1"/>
  <c r="N17" i="1" l="1"/>
  <c r="N16" i="1" s="1"/>
  <c r="N141" i="1"/>
  <c r="N137" i="1" s="1"/>
  <c r="M141" i="1"/>
  <c r="M137" i="1" s="1"/>
  <c r="L117" i="1" l="1"/>
  <c r="K117" i="1"/>
  <c r="L116" i="1"/>
  <c r="L115" i="1"/>
  <c r="K115" i="1"/>
  <c r="K114" i="1"/>
  <c r="K113" i="1"/>
  <c r="K112" i="1"/>
  <c r="L111" i="1"/>
  <c r="K111" i="1"/>
  <c r="K110" i="1"/>
  <c r="K107" i="1"/>
  <c r="L100" i="1" l="1"/>
  <c r="L99" i="1"/>
  <c r="L98" i="1"/>
  <c r="L97" i="1"/>
  <c r="L96" i="1"/>
  <c r="K96" i="1"/>
  <c r="L95" i="1"/>
  <c r="L94" i="1"/>
  <c r="L93" i="1" l="1"/>
  <c r="L92" i="1"/>
  <c r="L91" i="1"/>
  <c r="L90" i="1"/>
  <c r="L89" i="1"/>
  <c r="K89" i="1"/>
  <c r="L88" i="1"/>
  <c r="L86" i="1" s="1"/>
  <c r="M103" i="1" s="1"/>
  <c r="K88" i="1"/>
  <c r="M87" i="1" l="1"/>
  <c r="L59" i="1"/>
  <c r="M61" i="1" s="1"/>
  <c r="L53" i="1"/>
  <c r="L33" i="1"/>
  <c r="L36" i="1"/>
  <c r="L35" i="1"/>
  <c r="N61" i="1" l="1"/>
  <c r="N87" i="1"/>
  <c r="N103" i="1"/>
  <c r="M104" i="1"/>
  <c r="M88" i="1"/>
  <c r="M109" i="1"/>
  <c r="M112" i="1"/>
  <c r="M108" i="1"/>
  <c r="M110" i="1"/>
  <c r="M107" i="1"/>
  <c r="M116" i="1"/>
  <c r="M111" i="1"/>
  <c r="M113" i="1"/>
  <c r="M115" i="1"/>
  <c r="M114" i="1"/>
  <c r="M90" i="1"/>
  <c r="M95" i="1"/>
  <c r="M97" i="1"/>
  <c r="M99" i="1"/>
  <c r="M101" i="1"/>
  <c r="M94" i="1"/>
  <c r="M96" i="1"/>
  <c r="M98" i="1"/>
  <c r="M100" i="1"/>
  <c r="M102" i="1"/>
  <c r="M106" i="1"/>
  <c r="M93" i="1"/>
  <c r="M91" i="1"/>
  <c r="M117" i="1"/>
  <c r="M92" i="1"/>
  <c r="M89" i="1"/>
  <c r="L32" i="1"/>
  <c r="M37" i="1" s="1"/>
  <c r="M63" i="1"/>
  <c r="M62" i="1"/>
  <c r="M60" i="1"/>
  <c r="M54" i="1"/>
  <c r="M55" i="1"/>
  <c r="K125" i="1"/>
  <c r="L124" i="1"/>
  <c r="L119" i="1" s="1"/>
  <c r="M126" i="1" s="1"/>
  <c r="L30" i="1"/>
  <c r="K30" i="1"/>
  <c r="K14" i="1"/>
  <c r="L84" i="1"/>
  <c r="L11" i="1"/>
  <c r="K13" i="1"/>
  <c r="K12" i="1"/>
  <c r="K11" i="1"/>
  <c r="K10" i="1"/>
  <c r="K9" i="1"/>
  <c r="N54" i="1" l="1"/>
  <c r="N63" i="1"/>
  <c r="N37" i="1"/>
  <c r="N55" i="1"/>
  <c r="N62" i="1"/>
  <c r="N93" i="1"/>
  <c r="N99" i="1"/>
  <c r="N114" i="1"/>
  <c r="N116" i="1"/>
  <c r="N112" i="1"/>
  <c r="N106" i="1"/>
  <c r="N96" i="1"/>
  <c r="N115" i="1"/>
  <c r="N109" i="1"/>
  <c r="N94" i="1"/>
  <c r="N95" i="1"/>
  <c r="N113" i="1"/>
  <c r="N110" i="1"/>
  <c r="N88" i="1"/>
  <c r="N89" i="1"/>
  <c r="N98" i="1"/>
  <c r="N92" i="1"/>
  <c r="N97" i="1"/>
  <c r="N107" i="1"/>
  <c r="N102" i="1"/>
  <c r="N91" i="1"/>
  <c r="N100" i="1"/>
  <c r="N101" i="1"/>
  <c r="N90" i="1"/>
  <c r="N111" i="1"/>
  <c r="N108" i="1"/>
  <c r="N104" i="1"/>
  <c r="Q102" i="1"/>
  <c r="Q104" i="1"/>
  <c r="Q103" i="1"/>
  <c r="N105" i="1"/>
  <c r="M36" i="1"/>
  <c r="M33" i="1"/>
  <c r="M35" i="1"/>
  <c r="M38" i="1"/>
  <c r="M34" i="1"/>
  <c r="L28" i="1"/>
  <c r="L8" i="1"/>
  <c r="K129" i="1"/>
  <c r="K130" i="1"/>
  <c r="K131" i="1"/>
  <c r="K126" i="1"/>
  <c r="L70" i="1"/>
  <c r="L65" i="1"/>
  <c r="M68" i="1" s="1"/>
  <c r="L40" i="1"/>
  <c r="N35" i="1" l="1"/>
  <c r="L7" i="1"/>
  <c r="M9" i="1"/>
  <c r="N33" i="1"/>
  <c r="N38" i="1"/>
  <c r="N68" i="1"/>
  <c r="N34" i="1"/>
  <c r="N36" i="1"/>
  <c r="M30" i="1"/>
  <c r="M29" i="1"/>
  <c r="M71" i="1"/>
  <c r="M14" i="1"/>
  <c r="M11" i="1"/>
  <c r="M12" i="1"/>
  <c r="M10" i="1"/>
  <c r="M13" i="1"/>
  <c r="N9" i="1"/>
  <c r="M76" i="1"/>
  <c r="M74" i="1"/>
  <c r="M73" i="1"/>
  <c r="M72" i="1"/>
  <c r="M75" i="1"/>
  <c r="M67" i="1"/>
  <c r="M66" i="1"/>
  <c r="M42" i="1"/>
  <c r="M41" i="1"/>
  <c r="M44" i="1"/>
  <c r="L19" i="1"/>
  <c r="N42" i="1" l="1"/>
  <c r="N11" i="1"/>
  <c r="N66" i="1"/>
  <c r="N73" i="1"/>
  <c r="N13" i="1"/>
  <c r="N14" i="1"/>
  <c r="N44" i="1"/>
  <c r="N67" i="1"/>
  <c r="N74" i="1"/>
  <c r="N10" i="1"/>
  <c r="N71" i="1"/>
  <c r="N72" i="1"/>
  <c r="N30" i="1"/>
  <c r="N41" i="1"/>
  <c r="N75" i="1"/>
  <c r="N76" i="1"/>
  <c r="N12" i="1"/>
  <c r="N29" i="1"/>
  <c r="M23" i="1"/>
  <c r="M20" i="1"/>
  <c r="L15" i="1"/>
  <c r="M26" i="1"/>
  <c r="M22" i="1"/>
  <c r="M46" i="1"/>
  <c r="M43" i="1"/>
  <c r="M24" i="1"/>
  <c r="M48" i="1"/>
  <c r="M45" i="1"/>
  <c r="M25" i="1"/>
  <c r="M21" i="1"/>
  <c r="M27" i="1"/>
  <c r="M47" i="1"/>
  <c r="M138" i="1"/>
  <c r="N138" i="1" s="1"/>
  <c r="P137" i="1"/>
  <c r="O137" i="1"/>
  <c r="N27" i="1" l="1"/>
  <c r="N46" i="1"/>
  <c r="N21" i="1"/>
  <c r="N24" i="1"/>
  <c r="N22" i="1"/>
  <c r="N23" i="1"/>
  <c r="N19" i="1" s="1"/>
  <c r="N25" i="1"/>
  <c r="N20" i="1"/>
  <c r="N26" i="1"/>
  <c r="N48" i="1"/>
  <c r="N47" i="1"/>
  <c r="N45" i="1"/>
  <c r="N43" i="1"/>
  <c r="M78" i="1"/>
  <c r="M79" i="1"/>
  <c r="N79" i="1" l="1"/>
  <c r="N78" i="1"/>
  <c r="S49" i="1"/>
  <c r="L51" i="1"/>
  <c r="L50" i="1"/>
  <c r="N77" i="1" l="1"/>
  <c r="S132" i="1"/>
  <c r="S80" i="1"/>
  <c r="M133" i="1" l="1"/>
  <c r="N133" i="1" l="1"/>
  <c r="N132" i="1" s="1"/>
  <c r="O136" i="1"/>
  <c r="P5" i="1" l="1"/>
  <c r="N28" i="1" l="1"/>
  <c r="N15" i="1" s="1"/>
  <c r="N32" i="1"/>
  <c r="N40" i="1"/>
  <c r="N59" i="1"/>
  <c r="N65" i="1"/>
  <c r="O65" i="1" s="1"/>
  <c r="O64" i="1" s="1"/>
  <c r="N53" i="1"/>
  <c r="N70" i="1"/>
  <c r="O53" i="1" l="1"/>
  <c r="O52" i="1" s="1"/>
  <c r="O70" i="1"/>
  <c r="O69" i="1" s="1"/>
  <c r="L31" i="1"/>
  <c r="L64" i="1"/>
  <c r="M85" i="1"/>
  <c r="L83" i="1"/>
  <c r="L80" i="1"/>
  <c r="L69" i="1" s="1"/>
  <c r="N57" i="1"/>
  <c r="N56" i="1" s="1"/>
  <c r="P56" i="1" s="1"/>
  <c r="M56" i="1"/>
  <c r="M136" i="1" s="1"/>
  <c r="M134" i="1" s="1"/>
  <c r="L56" i="1"/>
  <c r="P53" i="1" l="1"/>
  <c r="P52" i="1" s="1"/>
  <c r="O19" i="1"/>
  <c r="O15" i="1" s="1"/>
  <c r="P19" i="1" s="1"/>
  <c r="P15" i="1" s="1"/>
  <c r="M52" i="1"/>
  <c r="N52" i="1"/>
  <c r="L52" i="1"/>
  <c r="P70" i="1"/>
  <c r="L49" i="1"/>
  <c r="M84" i="1"/>
  <c r="N84" i="1" l="1"/>
  <c r="M125" i="1"/>
  <c r="M122" i="1"/>
  <c r="M123" i="1"/>
  <c r="M121" i="1"/>
  <c r="M51" i="1"/>
  <c r="L39" i="1"/>
  <c r="M128" i="1"/>
  <c r="M131" i="1"/>
  <c r="M124" i="1"/>
  <c r="L118" i="1"/>
  <c r="M129" i="1"/>
  <c r="M130" i="1"/>
  <c r="M127" i="1"/>
  <c r="M50" i="1"/>
  <c r="O40" i="1"/>
  <c r="O39" i="1" s="1"/>
  <c r="P40" i="1" s="1"/>
  <c r="N126" i="1"/>
  <c r="M120" i="1"/>
  <c r="M81" i="1"/>
  <c r="N8" i="1"/>
  <c r="M82" i="1"/>
  <c r="N122" i="1" l="1"/>
  <c r="N120" i="1"/>
  <c r="N127" i="1"/>
  <c r="N124" i="1"/>
  <c r="N51" i="1"/>
  <c r="N125" i="1"/>
  <c r="N50" i="1"/>
  <c r="N130" i="1"/>
  <c r="N131" i="1"/>
  <c r="N121" i="1"/>
  <c r="N129" i="1"/>
  <c r="N128" i="1"/>
  <c r="N119" i="1" s="1"/>
  <c r="N123" i="1"/>
  <c r="N81" i="1"/>
  <c r="N80" i="1" s="1"/>
  <c r="O8" i="1"/>
  <c r="O7" i="1" s="1"/>
  <c r="N7" i="1"/>
  <c r="N69" i="1" l="1"/>
  <c r="P8" i="1"/>
  <c r="P7" i="1" s="1"/>
  <c r="O119" i="1"/>
  <c r="O118" i="1" s="1"/>
  <c r="O86" i="1"/>
  <c r="P80" i="1"/>
  <c r="P69" i="1" s="1"/>
  <c r="N85" i="1"/>
  <c r="M58" i="1"/>
  <c r="P119" i="1" l="1"/>
  <c r="P86" i="1"/>
  <c r="O85" i="1"/>
  <c r="L85" i="1"/>
  <c r="P85" i="1" l="1"/>
  <c r="N117" i="1"/>
  <c r="L58" i="1" l="1"/>
  <c r="C17" i="4" l="1"/>
  <c r="N49" i="1"/>
  <c r="N136" i="1" s="1"/>
  <c r="N60" i="1"/>
  <c r="N39" i="1" l="1"/>
  <c r="P49" i="1"/>
  <c r="L82" i="1"/>
  <c r="G17" i="4" l="1"/>
  <c r="P39" i="1"/>
  <c r="N83" i="1"/>
  <c r="N135" i="1" s="1"/>
  <c r="N134" i="1" l="1"/>
  <c r="O83" i="1"/>
  <c r="N82" i="1"/>
  <c r="O82" i="1" l="1"/>
  <c r="P83" i="1" l="1"/>
  <c r="N31" i="1"/>
  <c r="O32" i="1" s="1"/>
  <c r="O31" i="1" s="1"/>
  <c r="P32" i="1" s="1"/>
  <c r="N58" i="1"/>
  <c r="O59" i="1" s="1"/>
  <c r="O135" i="1" l="1"/>
  <c r="P82" i="1"/>
  <c r="O58" i="1"/>
  <c r="O134" i="1" l="1"/>
  <c r="O138" i="1"/>
  <c r="P132" i="1"/>
  <c r="N118" i="1"/>
  <c r="P59" i="1"/>
  <c r="P58" i="1" s="1"/>
  <c r="P138" i="1" s="1"/>
  <c r="M64" i="1"/>
  <c r="P118" i="1" l="1"/>
  <c r="P136" i="1"/>
  <c r="N64" i="1" l="1"/>
  <c r="P31" i="1"/>
  <c r="P65" i="1" l="1"/>
  <c r="P64" i="1" l="1"/>
  <c r="P134" i="1" s="1"/>
  <c r="P135" i="1"/>
</calcChain>
</file>

<file path=xl/sharedStrings.xml><?xml version="1.0" encoding="utf-8"?>
<sst xmlns="http://schemas.openxmlformats.org/spreadsheetml/2006/main" count="365" uniqueCount="237">
  <si>
    <t>№ СПП-элементов</t>
  </si>
  <si>
    <t>Номер материала</t>
  </si>
  <si>
    <t>Наименование ОС</t>
  </si>
  <si>
    <t>ЛС</t>
  </si>
  <si>
    <t>№    объекта учета</t>
  </si>
  <si>
    <t xml:space="preserve"> с НДС</t>
  </si>
  <si>
    <t xml:space="preserve"> без НДС</t>
  </si>
  <si>
    <t>99000081 (N) СМР</t>
  </si>
  <si>
    <t>99000081(N) СМР</t>
  </si>
  <si>
    <t>Ед.изм.</t>
  </si>
  <si>
    <t>Объем</t>
  </si>
  <si>
    <t>ИТОГО</t>
  </si>
  <si>
    <t>КОД ПТМ</t>
  </si>
  <si>
    <t xml:space="preserve"> </t>
  </si>
  <si>
    <t>Общая стоимость                     (в ценах 01.07.2019)</t>
  </si>
  <si>
    <t>«Модернизация системы охранной сигнализации и системы контроля управления доступом филиала "Управление по организации общественного питания" по адресу: Минский р-н, д.Б.Тростенец, ул.Западная,9»</t>
  </si>
  <si>
    <t>SM.121515.01.02.04.0001</t>
  </si>
  <si>
    <t>SM.121515.01.02.04.0002</t>
  </si>
  <si>
    <t xml:space="preserve"> Система охранная телевизионная </t>
  </si>
  <si>
    <t xml:space="preserve">SM.121515.01.02.04.0003 </t>
  </si>
  <si>
    <t xml:space="preserve">Периметральная охранная сигнализация </t>
  </si>
  <si>
    <t>SM.121515.01.02.04.0004</t>
  </si>
  <si>
    <t xml:space="preserve">SM.121515.01.02.04.0005 </t>
  </si>
  <si>
    <t xml:space="preserve">SM.121515.01.02.04.0006  </t>
  </si>
  <si>
    <t xml:space="preserve">SM.121515.01.02.04.0007 </t>
  </si>
  <si>
    <t xml:space="preserve">ССООИ УООП </t>
  </si>
  <si>
    <t xml:space="preserve">SM.121515.01.02.04.0008 </t>
  </si>
  <si>
    <t xml:space="preserve">SM.121515.01.02.04.0009 </t>
  </si>
  <si>
    <t xml:space="preserve">Неровности искусственные дорожные </t>
  </si>
  <si>
    <t xml:space="preserve">SM.121515.01.02.04.0010 </t>
  </si>
  <si>
    <t xml:space="preserve">SM.121515.01.02.04.0011 </t>
  </si>
  <si>
    <t>№ 2-1 ОБОРУДОВАНИЕ ОХРАННОЙ СИГНАЛИЗАЦИИ (п.1-30)</t>
  </si>
  <si>
    <t>№ 2-1 ОБОРУДОВАНИЕ ОХРАННОЙ СИГНАЛИЗАЦИИ (п.32-56)</t>
  </si>
  <si>
    <t>№ 2-1 ОБОРУДОВАНИЕ ОХРАННОЙ СИГНАЛИЗАЦИИ (п.58-70)</t>
  </si>
  <si>
    <t>№ 2-2 ОБОРУДОВАНИЕ СИСТЕМЫ СКУД (п.43-50)</t>
  </si>
  <si>
    <t>№ 2-2 ОБОРУДОВАНИЕ СИСТЕМЫ СКУД  (п.1-41)</t>
  </si>
  <si>
    <t>№ 2-3 ОБОРУДОВАНИЕ СИСТЕМЫ ОХРАННОГО ТЕЛЕВИДЕНИЯ (п.2-33)</t>
  </si>
  <si>
    <t>№ 2-3  ОБОРУДОВАНИЕ СИСТЕМЫ ОХРАННОГО ТЕЛЕВИДЕНИЯ  (п.35-85)</t>
  </si>
  <si>
    <t>№ 2-6 СИЛОВОЕ ЭЛЕКТРООБОРУДОВАНИЕ ЭМ</t>
  </si>
  <si>
    <t>№ 2-7 ОГРАЖДЕНИЕ ПЛОЩАДКИ (КЖ) (п.32-35)</t>
  </si>
  <si>
    <t>№ 2-7 ОГРАЖДЕНИЕ ПЛОЩАДКИ (КЖ) (п.76-105)</t>
  </si>
  <si>
    <t>№ 2-7 ОГРАЖДЕНИЕ ПЛОЩАДКИ (КЖ)  (пп.1-31, 36-75)</t>
  </si>
  <si>
    <t>№ 9-1 ПУСКОНАЛАДОЧНЫЕ РАБОТЫ ИБТСО</t>
  </si>
  <si>
    <t>№ 9-2 ПУСКОНАЛАДОЧНЫЕ РАБОТЫ ЭМ</t>
  </si>
  <si>
    <t>№ 9-3 ПУСКОНАЛАДОЧНЫЕ РАБОТЫ КИТСО (п.4-9)</t>
  </si>
  <si>
    <t>№ 9-3  ПУСКОНАЛАДОЧНЫЕ РАБОТЫ КИТСО (п.1-3)</t>
  </si>
  <si>
    <t>99000172 (N) ПНР</t>
  </si>
  <si>
    <t>Сетевой график</t>
  </si>
  <si>
    <t>Заявка</t>
  </si>
  <si>
    <t>шт</t>
  </si>
  <si>
    <t>СИСТЕМА КОНТРОЛЯ И УПРАВЛЕНИЯ ДОСТУПОМ (СКУД)</t>
  </si>
  <si>
    <t>СИСТЕМА ОХРАННОЙ СИГНАЛИЗАЦИИ (СОС)</t>
  </si>
  <si>
    <t>м</t>
  </si>
  <si>
    <t>ИТОГО, в том числе:</t>
  </si>
  <si>
    <t>СМР</t>
  </si>
  <si>
    <t>ПНР</t>
  </si>
  <si>
    <t>I квартал</t>
  </si>
  <si>
    <t>II квартал</t>
  </si>
  <si>
    <t xml:space="preserve">SM1515012006 0010 СМР </t>
  </si>
  <si>
    <t xml:space="preserve">SM1515012009 0010 СМР </t>
  </si>
  <si>
    <t xml:space="preserve">SM1515012012 0010 СМР </t>
  </si>
  <si>
    <t xml:space="preserve">SM1515012015 0010 СМР </t>
  </si>
  <si>
    <t xml:space="preserve">SM1515012013 0010 Прочие </t>
  </si>
  <si>
    <t xml:space="preserve">SM1515012018 0010 СМР </t>
  </si>
  <si>
    <t xml:space="preserve">SM1515012016 0010 Прочие </t>
  </si>
  <si>
    <t xml:space="preserve">SM1515012021 0010 СМР </t>
  </si>
  <si>
    <t xml:space="preserve">SM1515012024 0010 СМР </t>
  </si>
  <si>
    <t xml:space="preserve">SM1515012025 0010 Прочие </t>
  </si>
  <si>
    <t xml:space="preserve">SM1515012027 0010 СМР </t>
  </si>
  <si>
    <t xml:space="preserve">SM1515012030 0010 СМР </t>
  </si>
  <si>
    <t xml:space="preserve">SM1515012033 0010 СМР </t>
  </si>
  <si>
    <t xml:space="preserve">SM1515012036 0010 СМР </t>
  </si>
  <si>
    <t xml:space="preserve">SM1515012034 0010 Прочие </t>
  </si>
  <si>
    <r>
      <t xml:space="preserve">4000064302 -                  </t>
    </r>
    <r>
      <rPr>
        <sz val="15"/>
        <color theme="1"/>
        <rFont val="Times New Roman"/>
        <family val="1"/>
        <charset val="204"/>
      </rPr>
      <t xml:space="preserve">2 477,20  </t>
    </r>
    <r>
      <rPr>
        <b/>
        <sz val="15"/>
        <color theme="1"/>
        <rFont val="Times New Roman"/>
        <family val="1"/>
        <charset val="204"/>
      </rPr>
      <t xml:space="preserve">                 4000064303 -             </t>
    </r>
    <r>
      <rPr>
        <sz val="15"/>
        <color theme="1"/>
        <rFont val="Times New Roman"/>
        <family val="1"/>
        <charset val="204"/>
      </rPr>
      <t xml:space="preserve">21 737,82 </t>
    </r>
    <r>
      <rPr>
        <b/>
        <sz val="15"/>
        <color theme="1"/>
        <rFont val="Times New Roman"/>
        <family val="1"/>
        <charset val="204"/>
      </rPr>
      <t xml:space="preserve">                </t>
    </r>
  </si>
  <si>
    <r>
      <t xml:space="preserve">4000064304 -                  </t>
    </r>
    <r>
      <rPr>
        <sz val="15"/>
        <color theme="1"/>
        <rFont val="Times New Roman"/>
        <family val="1"/>
        <charset val="204"/>
      </rPr>
      <t xml:space="preserve">1 019,81  </t>
    </r>
    <r>
      <rPr>
        <b/>
        <sz val="15"/>
        <color theme="1"/>
        <rFont val="Times New Roman"/>
        <family val="1"/>
        <charset val="204"/>
      </rPr>
      <t xml:space="preserve">                   4000064305 -                  </t>
    </r>
    <r>
      <rPr>
        <sz val="15"/>
        <color theme="1"/>
        <rFont val="Times New Roman"/>
        <family val="1"/>
        <charset val="204"/>
      </rPr>
      <t>8 948,98</t>
    </r>
    <r>
      <rPr>
        <b/>
        <sz val="15"/>
        <color theme="1"/>
        <rFont val="Times New Roman"/>
        <family val="1"/>
        <charset val="204"/>
      </rPr>
      <t xml:space="preserve">                  </t>
    </r>
  </si>
  <si>
    <r>
      <t xml:space="preserve">4000064306 -            </t>
    </r>
    <r>
      <rPr>
        <sz val="15"/>
        <color theme="1"/>
        <rFont val="Times New Roman"/>
        <family val="1"/>
        <charset val="204"/>
      </rPr>
      <t xml:space="preserve">5 023,32      </t>
    </r>
    <r>
      <rPr>
        <b/>
        <sz val="15"/>
        <color theme="1"/>
        <rFont val="Times New Roman"/>
        <family val="1"/>
        <charset val="204"/>
      </rPr>
      <t xml:space="preserve">4000064307 -              </t>
    </r>
    <r>
      <rPr>
        <sz val="15"/>
        <color theme="1"/>
        <rFont val="Times New Roman"/>
        <family val="1"/>
        <charset val="204"/>
      </rPr>
      <t>44 080,53</t>
    </r>
  </si>
  <si>
    <r>
      <t xml:space="preserve">4000064308 - </t>
    </r>
    <r>
      <rPr>
        <sz val="15"/>
        <color theme="1"/>
        <rFont val="Times New Roman"/>
        <family val="1"/>
        <charset val="204"/>
      </rPr>
      <t xml:space="preserve">292,70 </t>
    </r>
    <r>
      <rPr>
        <b/>
        <sz val="15"/>
        <color theme="1"/>
        <rFont val="Times New Roman"/>
        <family val="1"/>
        <charset val="204"/>
      </rPr>
      <t xml:space="preserve">4000064309 -               </t>
    </r>
    <r>
      <rPr>
        <sz val="15"/>
        <color theme="1"/>
        <rFont val="Times New Roman"/>
        <family val="1"/>
        <charset val="204"/>
      </rPr>
      <t>2 568,52</t>
    </r>
  </si>
  <si>
    <r>
      <t xml:space="preserve">4000064310 -             </t>
    </r>
    <r>
      <rPr>
        <sz val="15"/>
        <color theme="1"/>
        <rFont val="Times New Roman"/>
        <family val="1"/>
        <charset val="204"/>
      </rPr>
      <t xml:space="preserve">35 450,00 </t>
    </r>
  </si>
  <si>
    <r>
      <t xml:space="preserve">4000064311 -           </t>
    </r>
    <r>
      <rPr>
        <sz val="15"/>
        <color theme="1"/>
        <rFont val="Times New Roman"/>
        <family val="1"/>
        <charset val="204"/>
      </rPr>
      <t xml:space="preserve">1 615,70  </t>
    </r>
    <r>
      <rPr>
        <b/>
        <sz val="15"/>
        <color theme="1"/>
        <rFont val="Times New Roman"/>
        <family val="1"/>
        <charset val="204"/>
      </rPr>
      <t xml:space="preserve">    4000064312 -           </t>
    </r>
    <r>
      <rPr>
        <sz val="15"/>
        <color theme="1"/>
        <rFont val="Times New Roman"/>
        <family val="1"/>
        <charset val="204"/>
      </rPr>
      <t>14 178,07</t>
    </r>
  </si>
  <si>
    <r>
      <t xml:space="preserve">4000064313 -            </t>
    </r>
    <r>
      <rPr>
        <sz val="15"/>
        <color theme="1"/>
        <rFont val="Times New Roman"/>
        <family val="1"/>
        <charset val="204"/>
      </rPr>
      <t>3 171,75</t>
    </r>
  </si>
  <si>
    <r>
      <t xml:space="preserve">4000064314 - </t>
    </r>
    <r>
      <rPr>
        <sz val="15"/>
        <color theme="1"/>
        <rFont val="Times New Roman"/>
        <family val="1"/>
        <charset val="204"/>
      </rPr>
      <t xml:space="preserve">35,07  </t>
    </r>
    <r>
      <rPr>
        <b/>
        <sz val="15"/>
        <color theme="1"/>
        <rFont val="Times New Roman"/>
        <family val="1"/>
        <charset val="204"/>
      </rPr>
      <t xml:space="preserve">             4000064315 - </t>
    </r>
    <r>
      <rPr>
        <sz val="15"/>
        <color theme="1"/>
        <rFont val="Times New Roman"/>
        <family val="1"/>
        <charset val="204"/>
      </rPr>
      <t>307,73</t>
    </r>
  </si>
  <si>
    <r>
      <t xml:space="preserve">4000064316  - </t>
    </r>
    <r>
      <rPr>
        <sz val="15"/>
        <color theme="1"/>
        <rFont val="Times New Roman"/>
        <family val="1"/>
        <charset val="204"/>
      </rPr>
      <t xml:space="preserve">20,86  </t>
    </r>
    <r>
      <rPr>
        <b/>
        <sz val="15"/>
        <color theme="1"/>
        <rFont val="Times New Roman"/>
        <family val="1"/>
        <charset val="204"/>
      </rPr>
      <t xml:space="preserve">4000064317 - </t>
    </r>
    <r>
      <rPr>
        <sz val="15"/>
        <color theme="1"/>
        <rFont val="Times New Roman"/>
        <family val="1"/>
        <charset val="204"/>
      </rPr>
      <t>183,07</t>
    </r>
  </si>
  <si>
    <r>
      <t xml:space="preserve">4000064327 - </t>
    </r>
    <r>
      <rPr>
        <sz val="15"/>
        <color theme="1"/>
        <rFont val="Times New Roman"/>
        <family val="1"/>
        <charset val="204"/>
      </rPr>
      <t>344,56</t>
    </r>
  </si>
  <si>
    <r>
      <t xml:space="preserve">4000064325 -         </t>
    </r>
    <r>
      <rPr>
        <sz val="15"/>
        <color theme="1"/>
        <rFont val="Times New Roman"/>
        <family val="1"/>
        <charset val="204"/>
      </rPr>
      <t xml:space="preserve">1 241,56    </t>
    </r>
    <r>
      <rPr>
        <b/>
        <sz val="15"/>
        <color theme="1"/>
        <rFont val="Times New Roman"/>
        <family val="1"/>
        <charset val="204"/>
      </rPr>
      <t xml:space="preserve">        4000064326 -             </t>
    </r>
    <r>
      <rPr>
        <sz val="15"/>
        <color theme="1"/>
        <rFont val="Times New Roman"/>
        <family val="1"/>
        <charset val="204"/>
      </rPr>
      <t>10 894,90</t>
    </r>
  </si>
  <si>
    <r>
      <t xml:space="preserve">4000064320 -           </t>
    </r>
    <r>
      <rPr>
        <sz val="15"/>
        <color theme="1"/>
        <rFont val="Times New Roman"/>
        <family val="1"/>
        <charset val="204"/>
      </rPr>
      <t>15 845,07</t>
    </r>
  </si>
  <si>
    <r>
      <t xml:space="preserve">4000064318  - </t>
    </r>
    <r>
      <rPr>
        <sz val="15"/>
        <color theme="1"/>
        <rFont val="Times New Roman"/>
        <family val="1"/>
        <charset val="204"/>
      </rPr>
      <t xml:space="preserve">863,04 </t>
    </r>
    <r>
      <rPr>
        <b/>
        <sz val="15"/>
        <color theme="1"/>
        <rFont val="Times New Roman"/>
        <family val="1"/>
        <charset val="204"/>
      </rPr>
      <t xml:space="preserve">4000064319 -        </t>
    </r>
    <r>
      <rPr>
        <sz val="15"/>
        <color theme="1"/>
        <rFont val="Times New Roman"/>
        <family val="1"/>
        <charset val="204"/>
      </rPr>
      <t>7 573,33</t>
    </r>
  </si>
  <si>
    <r>
      <t xml:space="preserve">4000064321  - </t>
    </r>
    <r>
      <rPr>
        <sz val="15"/>
        <color theme="1"/>
        <rFont val="Times New Roman"/>
        <family val="1"/>
        <charset val="204"/>
      </rPr>
      <t xml:space="preserve">145,27  </t>
    </r>
    <r>
      <rPr>
        <b/>
        <sz val="15"/>
        <color theme="1"/>
        <rFont val="Times New Roman"/>
        <family val="1"/>
        <charset val="204"/>
      </rPr>
      <t xml:space="preserve">        4000064322 -             </t>
    </r>
    <r>
      <rPr>
        <sz val="15"/>
        <color theme="1"/>
        <rFont val="Times New Roman"/>
        <family val="1"/>
        <charset val="204"/>
      </rPr>
      <t>1 274,77</t>
    </r>
  </si>
  <si>
    <r>
      <t xml:space="preserve">4000064323 -          </t>
    </r>
    <r>
      <rPr>
        <sz val="15"/>
        <color theme="1"/>
        <rFont val="Times New Roman"/>
        <family val="1"/>
        <charset val="204"/>
      </rPr>
      <t xml:space="preserve">24 172,24     </t>
    </r>
    <r>
      <rPr>
        <b/>
        <sz val="15"/>
        <color theme="1"/>
        <rFont val="Times New Roman"/>
        <family val="1"/>
        <charset val="204"/>
      </rPr>
      <t xml:space="preserve">   4000064324 -             </t>
    </r>
    <r>
      <rPr>
        <sz val="15"/>
        <color theme="1"/>
        <rFont val="Times New Roman"/>
        <family val="1"/>
        <charset val="204"/>
      </rPr>
      <t>212 115,51</t>
    </r>
  </si>
  <si>
    <t>СИСТЕМА КОНТРОЛЯ ДОСТУПОМ (СКД)</t>
  </si>
  <si>
    <t>каналы</t>
  </si>
  <si>
    <t>Шкаф напольный промышленный ШКО3</t>
  </si>
  <si>
    <t>Шкаф сварной металлический навесной ШКО1</t>
  </si>
  <si>
    <t>Шкаф сварной металлический навесной  ШКО2</t>
  </si>
  <si>
    <t>Шкаф сварной металлический навесной ШКО4</t>
  </si>
  <si>
    <t>Шкаф сварной металлический навесной ШКО5</t>
  </si>
  <si>
    <t>Шкаф сварной металлический навесной ШКО6</t>
  </si>
  <si>
    <t>Шкаф сварной металлический навесной ШКО7</t>
  </si>
  <si>
    <t>Термошкаф ШТИ-5</t>
  </si>
  <si>
    <t>Шкаф ШКВ</t>
  </si>
  <si>
    <t>Кросс оптический настенный, укомплектованный КРН-8-SС-МИКРО</t>
  </si>
  <si>
    <t>Кросс оптический стоечный укомплектованный КРС-32-SС</t>
  </si>
  <si>
    <t>кмп</t>
  </si>
  <si>
    <t>ОБОРУДОВАНИЕ ПОДРЯДЧИКА:</t>
  </si>
  <si>
    <t>МОНТАЖ КРОССА ОПТИЧЕСКОГО (НАСТЕННЫЙ, СТОЕЧНЫЙ)</t>
  </si>
  <si>
    <t>МОНТАЖ ШКАФОВ (ШКО1, ШКО5, ШКО2, ШЕО4, ШКО7, ШКО6)</t>
  </si>
  <si>
    <t>МОНТАЖ ШКАФОВ (ШКО3, ШКВ, ШТИ-5)</t>
  </si>
  <si>
    <t>ОБОРУДОВАНИЕ ПОДРЯДЧИКА</t>
  </si>
  <si>
    <t>НЕПРЕДВИДЕННЫЕ  ЗАТРАТЫ 1,5%</t>
  </si>
  <si>
    <t>МОНТАЖ КОММУТАТОРА И БЛОКА ПИТАНИЯ</t>
  </si>
  <si>
    <r>
      <t xml:space="preserve">МОНТАЖ ПЕРЕМЫЧКИ КАБЕЛЬНОЙ </t>
    </r>
    <r>
      <rPr>
        <sz val="12"/>
        <color theme="1"/>
        <rFont val="Calibri"/>
        <family val="2"/>
        <charset val="204"/>
      </rPr>
      <t>Ø</t>
    </r>
    <r>
      <rPr>
        <sz val="12"/>
        <color theme="1"/>
        <rFont val="Times New Roman"/>
        <family val="1"/>
        <charset val="204"/>
      </rPr>
      <t xml:space="preserve"> ДО 6 М</t>
    </r>
  </si>
  <si>
    <t>МОНТАЖ ВИДЕОКАМЕРЫ (НАРУЖНАЯ УСТАНОВКА)</t>
  </si>
  <si>
    <t>МОНТАЖ ВИДЕОКАМЕРЫ (ВНУТРЕННЯЯ УСТАНОВКА)</t>
  </si>
  <si>
    <t>МОНТАЖ АППАРАТУРЫ (ВИДЕОРЕГИСТРАТОРЫ)</t>
  </si>
  <si>
    <t>МОНТАЖ СЪЕМНЫХ И ВЫДВИЖНЫХ БЛОКОВ (ДИСКИ ЖЕСТКИЕ)</t>
  </si>
  <si>
    <t>МОНТАЖ СЧИТЫВАТЕЛЕЙ ИДЕНТИФИКАТОРОВ И КОНТРОЛЛЕРОВ</t>
  </si>
  <si>
    <t>МОНТАЖ БЛОКА РЕЛЕЙНОГО</t>
  </si>
  <si>
    <t>УСТАНОВКА АВТОМАТИЧЕСКИХ ЗАКРЫВАТЕЛЕЙ НА ДВЕРИ НАРУЖНЫЕ ВХОДНЫЕ</t>
  </si>
  <si>
    <t>МОНТАЖ КНОПКИ ОТКРЫВАНИЯ ДВЕРИ</t>
  </si>
  <si>
    <t>МОНТАЖ ПОСТА УПРАВЛЕНИЯ КНОПОЧНОГО ОБЩЕГО НАЗНАЧЕНИЯ</t>
  </si>
  <si>
    <t>МОНТАЖ ПРИБОРА КОНТРОЛЬНО-УЧЕТНОГО</t>
  </si>
  <si>
    <t>МОНТАЖ КЛЮЧА ИЛИ КНОПКИ НА ПАНЕЛИ</t>
  </si>
  <si>
    <t>МОНТАЖ МИКРОФОНА</t>
  </si>
  <si>
    <t>ВВОД ГИБКИЙ</t>
  </si>
  <si>
    <t>ПРОВОДНИК ЗАЗЕМЛЯЮЩИЙ Ø 12 ММ</t>
  </si>
  <si>
    <t>ПРОВОДНИК ЗАЗЕМЛЯЮЩИЙ ИЗ МЕДНОГО ПРОВОДА</t>
  </si>
  <si>
    <t>ГЕРМЕТИЗАЦИЯ ПРОХОДОВ</t>
  </si>
  <si>
    <t>ПРОБИВКА БОРОЗД В КИРПИЧНЫХ СТЕНАХ</t>
  </si>
  <si>
    <t>УКЛАДКА БЛОКОВ И ПЛИТ ЛЕНТОЧНЫХ ФУНДАМЕНТОВ</t>
  </si>
  <si>
    <t>УСТАНОВКА ЭКРАНОВ ОГРАЖДЕНИЙ</t>
  </si>
  <si>
    <r>
      <t>м</t>
    </r>
    <r>
      <rPr>
        <vertAlign val="superscript"/>
        <sz val="14"/>
        <color theme="1"/>
        <rFont val="Times New Roman"/>
        <family val="1"/>
        <charset val="204"/>
      </rPr>
      <t>2</t>
    </r>
  </si>
  <si>
    <t>ДЕМОНТАЖ ЭКРАНОВ ОГРАЖДЕНИЙ</t>
  </si>
  <si>
    <t>ЭЛЕКТРИЧЕСКАЯ ПРОВОДКА В ЩИТАХ И ПУЛЬТАХ</t>
  </si>
  <si>
    <t>МОНТАЖ БЛОКА ПРИЕМНО-КОНТРОЛЬНОГО ОХРАННО-ПОЖАРНОГО</t>
  </si>
  <si>
    <t>МОНТАЖ ИЗВЕЩАТЕЛЕЙ ОХРАННЫХ</t>
  </si>
  <si>
    <t>МОНТАЖ БЛОКА ПИТАНИЯ БПР</t>
  </si>
  <si>
    <t>МОНТАЖ ПРИБОРА КОНТРОЛЯ СЕТЕВЫХ УСТРОЙСТВ</t>
  </si>
  <si>
    <t>МОНТАЖ ИЗВЕЩАТЕЛЕЙ МАГНИТОКОНТАКТНЫХ</t>
  </si>
  <si>
    <t xml:space="preserve">МОНТАЖ ИЗВЕЩАТЕЛЕЙ ОХРАННЫХ </t>
  </si>
  <si>
    <t>МОНТАЖ КНОПКИ ТРЕВОЖНОЙ</t>
  </si>
  <si>
    <t>МОНТАЖ КОРОБКИ КАБЕЛЬНОЙ СОЕДИНИТЕЛЬНОЙ</t>
  </si>
  <si>
    <t>МОНТАЖ КАБЕЛЬ-КАНАЛОВ ПВХ, СЕЧЕНИЕМ  ДО 20*10 ММ</t>
  </si>
  <si>
    <t>МОНТАЖ КАБЕЛЬ-КАНАЛОВ ПВХ, СЕЧЕНИЕМ ДО 100*60 ММ</t>
  </si>
  <si>
    <t>МОНТАЖ КОРОБКИ ОПТИЧЕСКОЙ</t>
  </si>
  <si>
    <t>МОНТАЖ ЗАЖИМОВ НАБОРНЫХ БЕЗ КОЖУХА (ГЕРМОВВОД)</t>
  </si>
  <si>
    <t>МОНТАЖ ВЫКЛЮЧАТЕЛЕЙ АВТОМАТИЧЕСКИХ</t>
  </si>
  <si>
    <t>МОНТАЖ РОЗЕТОК</t>
  </si>
  <si>
    <t>МОНТАЖ РАЗЪЕМОВ</t>
  </si>
  <si>
    <t>УСТАНОВКА ШИН "НУЛЕВЫХ"</t>
  </si>
  <si>
    <t>УСТАНОВКА КОРОБКИ МОНТАЖНОЙ</t>
  </si>
  <si>
    <t>УСТАНОВКА МУФТ ОПТИЧЕСКИХ</t>
  </si>
  <si>
    <t>ПЕРЕМЫЧКИ КАБЕЛЬНЫЕ Ø ДО 6 М</t>
  </si>
  <si>
    <t>ЭЛЕКТРИЧЕСКИЕ ПРОВОДКИ В ЩИТАХ И ПУЛЬТАХ</t>
  </si>
  <si>
    <t>км</t>
  </si>
  <si>
    <t>КОМПЛЕКС ИЗМЕРЕНИЙ ПОСТОЯННЫМ ТОКОМ</t>
  </si>
  <si>
    <t>ИЗМЕРЕНИЕ СОПРОТИВЛЕНИЯ ШЛЕЙФА</t>
  </si>
  <si>
    <t>РАЗБОРКА АСФАЛЬТОБЕТОННЫХ ПОКРЫТИЙ ТРОТУАРОВ</t>
  </si>
  <si>
    <t>УСТРОЙСТВО ПОКРЫТИЯ ИЗ ГОРЯЧИХ АСФАЛЬТОБЕТОННЫХ СМЕСЕЙ</t>
  </si>
  <si>
    <t>проходы</t>
  </si>
  <si>
    <t>УКЛАДКА ЛЕНТЫ ЗАЩИТНО-СИГНАЛЬНОЙ</t>
  </si>
  <si>
    <t>ДЕМОНТАЖ КОЛЮЧЕЙ ПРОВОЛОКИ</t>
  </si>
  <si>
    <t>УСТАНОВКА ОПОР ОСВЕЩЕНИЯ СВАРНЫХ СТАЛЬНЫХ</t>
  </si>
  <si>
    <t>МОНТАЖ ИЗВЕЩАТЕЛЕЙ ОХРАННЫХ МАГНИТОКОНТАКТНЫХ</t>
  </si>
  <si>
    <t>МОНТАЖ ИЗВЕЩАТЕЛЯ РУЧНОГО</t>
  </si>
  <si>
    <t>МОНТАЖ ПУЛЬТА КОНТРОЛЯ И УПРАВЛЕНИЯ</t>
  </si>
  <si>
    <t>МОНТАЖ ПРЕОБРАЗОВАТЕЛЕЙ ИНТЕРФЕЙСОВ</t>
  </si>
  <si>
    <t>МОНТАЖ KVM -УДЛИНИТЕЛЯ</t>
  </si>
  <si>
    <t>МОНТАЖ SFP 1,25 GE МОДУЛЬ</t>
  </si>
  <si>
    <t>УСТАНОВКА ИБП, МОДУЛЯ С АККУМУЛЯТОРОМ</t>
  </si>
  <si>
    <t>SM.121515.01.02.04.0008</t>
  </si>
  <si>
    <t>ПНР ИБТСО</t>
  </si>
  <si>
    <t>копмлекс</t>
  </si>
  <si>
    <t>ПНР ЭМ</t>
  </si>
  <si>
    <t>МОНТАЖ КАБЕЛЕЙ ДО 35 КВ В ПРОЛОЖЕННЫХ ТРУБАХ</t>
  </si>
  <si>
    <t>МОНТАЖ КАБЕЛЕЙ ДО 35 КВ В ЛОТКАХ С КРЕПЛЕНИЕМ</t>
  </si>
  <si>
    <t>ВВОД В ЗДАНИЕ</t>
  </si>
  <si>
    <t>ПРОКЛАДКА КАБЕЛЯ В ЗЕМЛЕ</t>
  </si>
  <si>
    <t>МОНТАЖ ТРУБЫ СТАЛЬНОЙ Ø ДО 40 ММ</t>
  </si>
  <si>
    <t>МОНТАЖ ТРУБЫ ВИНИПЛАСТОВОЙ Ø ДО 50 ММ</t>
  </si>
  <si>
    <t>МОНТАЖ ТРУБЫ ВИНИПЛАСТОВЫЕ Ø 25 ММ</t>
  </si>
  <si>
    <r>
      <t>УСТРОЙСТВО ТРУБОПРОВОДОВ ИЗ П/Э ТРУБ (</t>
    </r>
    <r>
      <rPr>
        <sz val="12"/>
        <color theme="1"/>
        <rFont val="Calibri"/>
        <family val="2"/>
        <charset val="204"/>
      </rPr>
      <t>Ø</t>
    </r>
    <r>
      <rPr>
        <sz val="12"/>
        <color theme="1"/>
        <rFont val="Times New Roman"/>
        <family val="1"/>
        <charset val="204"/>
      </rPr>
      <t xml:space="preserve"> 110, </t>
    </r>
    <r>
      <rPr>
        <sz val="12"/>
        <color theme="1"/>
        <rFont val="Calibri"/>
        <family val="2"/>
        <charset val="204"/>
      </rPr>
      <t>Ø</t>
    </r>
    <r>
      <rPr>
        <sz val="8.4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90, </t>
    </r>
    <r>
      <rPr>
        <sz val="12"/>
        <color theme="1"/>
        <rFont val="Calibri"/>
        <family val="2"/>
        <charset val="204"/>
      </rPr>
      <t>Ø</t>
    </r>
    <r>
      <rPr>
        <sz val="8.4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50)</t>
    </r>
  </si>
  <si>
    <t>ПРИСОЕДИНЕНИЕ К ЗАЖИМАМ ЖИЛ ПРОВОДОВ И ЗАДЕЛКИ ДЛЯ КОНТРОЛЬНОГО КАБЕЛЯ</t>
  </si>
  <si>
    <t>ПРОКЛАДКА КАБЕЛЯ ВОЛС</t>
  </si>
  <si>
    <t>КАБЕЛИ ДО 35 КВ В ПРОЛОЖЕННЫХ ТРУБАХ И КОРОБАХ</t>
  </si>
  <si>
    <t>КАБЕЛИ ДО 35 КВ, ПРОКЛАДЫВАЕМЫЕ В ТРАНШЕЯХ</t>
  </si>
  <si>
    <t>КАБЕЛИ ДО 35 КВ, ПРОКЛАДЫВАЕМЫЕ ПО КОНСТРУКЦИЯМ И ЛОТКАМ</t>
  </si>
  <si>
    <t>Островская 2667</t>
  </si>
  <si>
    <t>УСТРОЙСТВО КОЗЫРЬКОВОГО  ЗАГРАЖДЕНИЯ</t>
  </si>
  <si>
    <t>ДЕМОНТАЖ БЛОКОВ И ПЛИТ</t>
  </si>
  <si>
    <t>МОНТАЖ ВНЕШНИХ УСТРОЙСТВ (МОДУЛИ ГРОЗОЗАЩИТЫ)</t>
  </si>
  <si>
    <t>МОНТАЖ УСТРОЙСТВА ВИДЕОКОНТРОЛЬНОГО (МОНИТОРЫ)</t>
  </si>
  <si>
    <t>УСТРОЙСТВО ФУНДАМЕНТОВ ПОД ОПОРЫ</t>
  </si>
  <si>
    <t>Система сбора, обработки и отображения информации</t>
  </si>
  <si>
    <t>МОНТАЖ АППАРАТУРЫ НАСТОЛЬНОЙ (АРМ)</t>
  </si>
  <si>
    <t xml:space="preserve">УСТРОЙСТВО ИСКУССТВЕННЫХ НЕРОВНОСТЕЙ НА ПРОЕЗЖЕЙ ЧАСТИ </t>
  </si>
  <si>
    <t>№ 2-5 МОНТАЖНЫЕ РАБОТЫ КИТСО (п.2-4, 18-155)</t>
  </si>
  <si>
    <t>№ 2-5 МОНТАЖНЫЕ РАБОТЫ КИТСО (п.5-16)</t>
  </si>
  <si>
    <t>№ 2-5 МОНТАЖНЫЕ РАБОТЫ КИТСО (п.98-99)</t>
  </si>
  <si>
    <t xml:space="preserve"> Доп к *54258 Ограждение территории (ж/б ограждение)</t>
  </si>
  <si>
    <t>МОНТАЖ ВНЕШНЕГО УСТРОЙСТВА (УЗЛ-СД-24, УЗЛ-СД-12)</t>
  </si>
  <si>
    <t xml:space="preserve"> Система контроля управления доступом (СКУД)</t>
  </si>
  <si>
    <t>МОНТАЖ ЗАМКА ЭЛЕКТРОМЕХАНИЧЕСКОГО</t>
  </si>
  <si>
    <t xml:space="preserve">Объектовая охранная сигнализация </t>
  </si>
  <si>
    <t>Тревожная сигнализация</t>
  </si>
  <si>
    <t>Система контроля действий персонала</t>
  </si>
  <si>
    <t>Силовые линии электропитания  системы охранной сигнализации</t>
  </si>
  <si>
    <t>Слаботочные линии связи системы охранной сигнализации</t>
  </si>
  <si>
    <t>МОНТАЖ ТУРНИКЕТА ТРИПОД НАПОЛЬНОГО</t>
  </si>
  <si>
    <t>МОНТАЖ УСТРОЙСТВА РАДИОПРИЕМНОГО РПУ</t>
  </si>
  <si>
    <t>МОНТАЖ УСТРОЙСТВА РАДИОПЕРЕДАЮЩЕГО "РАДИОКНОПКА"</t>
  </si>
  <si>
    <t>МОНТАЖ ЛОТКОВ НЕПЕРФОРИРОВАННЫХ ПО СТЕНЕ, КРЕПЛЕНИЕ КРОНШТЕЙНАМИ (МЕТАЛЛИЧЕСКИХ, КРЫШЕК ЛОТКА, ПЕРЕГОДОДОК, НАКЛАДОК ДЛЯ КРЫШЕК, ПЛАСТИН, УГОЛКОВ, ЗАГЛУШЕК, КОНСОЛЕЙ, ПЕРЕХОДНИКОВ)</t>
  </si>
  <si>
    <t>МОНТАЖ ШКАФОВ РАСПРЕДЕЛИТЕЛЬНЫХ ШР (1, 2, 3, 4, 5, 6)</t>
  </si>
  <si>
    <r>
      <t xml:space="preserve"> Разбивка строительно-монтажных работ                                                                            </t>
    </r>
    <r>
      <rPr>
        <b/>
        <sz val="15"/>
        <color theme="1"/>
        <rFont val="Times New Roman"/>
        <family val="1"/>
        <charset val="204"/>
      </rPr>
      <t>на 04.02.2021</t>
    </r>
  </si>
  <si>
    <t>ЗАДЕЛКА КОНЦЕВАЯ  ДЛЯ ЖИЛЬНОГО КАБЕЛЯ</t>
  </si>
  <si>
    <t>ПРИСОЕДИНЕНИЕ К ЗАЖИМАМ ЖИЛ КАБЕЛЕЙ</t>
  </si>
  <si>
    <t>МОНТАЖ КАБЕЛЬ-КАНАЛОВ ПВХ И МОНТАЖ ФАСОННЫХ ЧАСТЕЙ КАБЕЛЬ-КАНАЛА</t>
  </si>
  <si>
    <t>к договору строительного подряда</t>
  </si>
  <si>
    <t>Подрядчик</t>
  </si>
  <si>
    <t>Заказчик</t>
  </si>
  <si>
    <t>М.П.</t>
  </si>
  <si>
    <t>оплата за выполненные работы</t>
  </si>
  <si>
    <t>Аванс, включая целевой</t>
  </si>
  <si>
    <t>в том числе</t>
  </si>
  <si>
    <t>Всего платежей</t>
  </si>
  <si>
    <t>Сумма платежей, рублей</t>
  </si>
  <si>
    <t>Стоимость оборудования подрядчика, рублей</t>
  </si>
  <si>
    <t>Стоимость работ по графику,рублей</t>
  </si>
  <si>
    <t xml:space="preserve">Месяцы строительства </t>
  </si>
  <si>
    <t>№
п/п</t>
  </si>
  <si>
    <t>Приложение № 2</t>
  </si>
  <si>
    <t>ОАО «Газпром трансгаз Беларусь»</t>
  </si>
  <si>
    <t>Заместитель генерального директора</t>
  </si>
  <si>
    <t>Директор</t>
  </si>
  <si>
    <t xml:space="preserve"> ____________________М.М.Грищеня</t>
  </si>
  <si>
    <t xml:space="preserve">График платежей </t>
  </si>
  <si>
    <t xml:space="preserve">от                  № </t>
  </si>
  <si>
    <t>"_________________________________________________________________________"</t>
  </si>
  <si>
    <t xml:space="preserve"> 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</si>
</sst>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"/>
    <numFmt numFmtId="165" formatCode="#,##0.000"/>
    <numFmt numFmtId="166" formatCode="#,##0.000&quot;*&quot;"/>
    <numFmt numFmtId="167" formatCode="mmmm\ yyyy\ &quot;г.&quot;"/>
  </numFmts>
  <fonts count="3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u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i/>
      <sz val="15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5"/>
      <color theme="1"/>
      <name val="Times New Roman"/>
      <family val="1"/>
      <charset val="204"/>
    </font>
    <font>
      <sz val="15"/>
      <color rgb="FFFF0000"/>
      <name val="Times New Roman"/>
      <family val="1"/>
      <charset val="204"/>
    </font>
    <font>
      <sz val="15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Calibri"/>
      <family val="2"/>
      <charset val="204"/>
    </font>
    <font>
      <vertAlign val="superscript"/>
      <sz val="14"/>
      <color theme="1"/>
      <name val="Times New Roman"/>
      <family val="1"/>
      <charset val="204"/>
    </font>
    <font>
      <sz val="8.4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</font>
    <font>
      <sz val="12"/>
      <name val="Times New Roman"/>
      <family val="1"/>
    </font>
    <font>
      <b/>
      <i/>
      <sz val="9"/>
      <color indexed="9"/>
      <name val="Times New Roman"/>
      <family val="1"/>
    </font>
    <font>
      <b/>
      <sz val="11"/>
      <name val="Times New Roman"/>
      <family val="1"/>
      <charset val="204"/>
    </font>
    <font>
      <b/>
      <i/>
      <sz val="12"/>
      <name val="Times New Roman"/>
      <family val="1"/>
    </font>
    <font>
      <b/>
      <i/>
      <sz val="12"/>
      <name val="Times New Roman"/>
      <family val="1"/>
      <charset val="204"/>
    </font>
    <font>
      <sz val="11"/>
      <name val="Times New Roman"/>
      <family val="1"/>
    </font>
    <font>
      <sz val="14"/>
      <name val="Times New Roman"/>
      <family val="1"/>
      <charset val="204"/>
    </font>
    <font>
      <b/>
      <i/>
      <sz val="15"/>
      <name val="Times New Roman"/>
      <family val="1"/>
      <charset val="204"/>
    </font>
    <font>
      <b/>
      <sz val="15"/>
      <name val="Times New Roman"/>
      <family val="1"/>
    </font>
    <font>
      <sz val="15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2" fillId="0" borderId="0"/>
  </cellStyleXfs>
  <cellXfs count="307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10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wrapText="1"/>
    </xf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4" fontId="5" fillId="0" borderId="0" xfId="0" applyNumberFormat="1" applyFont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4" fontId="6" fillId="0" borderId="7" xfId="0" applyNumberFormat="1" applyFont="1" applyBorder="1" applyAlignment="1">
      <alignment horizontal="center" vertical="center" wrapText="1"/>
    </xf>
    <xf numFmtId="4" fontId="6" fillId="2" borderId="7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1" fillId="0" borderId="10" xfId="0" applyFont="1" applyBorder="1" applyAlignment="1">
      <alignment horizontal="left" wrapText="1"/>
    </xf>
    <xf numFmtId="0" fontId="11" fillId="2" borderId="0" xfId="0" applyFont="1" applyFill="1"/>
    <xf numFmtId="4" fontId="6" fillId="3" borderId="6" xfId="0" applyNumberFormat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 wrapText="1"/>
    </xf>
    <xf numFmtId="0" fontId="1" fillId="0" borderId="25" xfId="0" applyFont="1" applyBorder="1"/>
    <xf numFmtId="0" fontId="11" fillId="2" borderId="26" xfId="0" applyFont="1" applyFill="1" applyBorder="1"/>
    <xf numFmtId="4" fontId="1" fillId="0" borderId="0" xfId="0" applyNumberFormat="1" applyFont="1"/>
    <xf numFmtId="4" fontId="5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5" fillId="2" borderId="11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1" fillId="2" borderId="3" xfId="0" applyFont="1" applyFill="1" applyBorder="1" applyAlignment="1">
      <alignment horizontal="center" wrapText="1"/>
    </xf>
    <xf numFmtId="0" fontId="11" fillId="2" borderId="3" xfId="0" applyFont="1" applyFill="1" applyBorder="1" applyAlignment="1">
      <alignment horizontal="left" wrapText="1"/>
    </xf>
    <xf numFmtId="4" fontId="6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4" fillId="0" borderId="0" xfId="0" applyFont="1"/>
    <xf numFmtId="4" fontId="15" fillId="0" borderId="11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4" fontId="15" fillId="0" borderId="9" xfId="0" applyNumberFormat="1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Border="1"/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" fontId="3" fillId="0" borderId="30" xfId="0" applyNumberFormat="1" applyFont="1" applyBorder="1" applyAlignment="1">
      <alignment horizontal="center" vertical="center"/>
    </xf>
    <xf numFmtId="4" fontId="3" fillId="0" borderId="31" xfId="0" applyNumberFormat="1" applyFont="1" applyBorder="1" applyAlignment="1">
      <alignment horizontal="center" vertical="center"/>
    </xf>
    <xf numFmtId="4" fontId="14" fillId="0" borderId="0" xfId="0" applyNumberFormat="1" applyFont="1"/>
    <xf numFmtId="4" fontId="6" fillId="3" borderId="12" xfId="0" applyNumberFormat="1" applyFont="1" applyFill="1" applyBorder="1" applyAlignment="1">
      <alignment horizontal="center" vertical="center"/>
    </xf>
    <xf numFmtId="4" fontId="6" fillId="2" borderId="18" xfId="0" applyNumberFormat="1" applyFont="1" applyFill="1" applyBorder="1" applyAlignment="1">
      <alignment horizontal="center" vertical="center" wrapText="1"/>
    </xf>
    <xf numFmtId="4" fontId="5" fillId="0" borderId="18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wrapText="1"/>
    </xf>
    <xf numFmtId="4" fontId="9" fillId="0" borderId="0" xfId="0" applyNumberFormat="1" applyFont="1" applyAlignment="1">
      <alignment horizontal="center" vertical="center"/>
    </xf>
    <xf numFmtId="4" fontId="16" fillId="0" borderId="0" xfId="0" applyNumberFormat="1" applyFont="1" applyAlignment="1">
      <alignment horizontal="center" vertical="center"/>
    </xf>
    <xf numFmtId="10" fontId="3" fillId="0" borderId="0" xfId="0" applyNumberFormat="1" applyFont="1" applyAlignment="1">
      <alignment horizontal="center" vertical="center"/>
    </xf>
    <xf numFmtId="4" fontId="3" fillId="3" borderId="32" xfId="0" applyNumberFormat="1" applyFont="1" applyFill="1" applyBorder="1" applyAlignment="1">
      <alignment horizontal="center" vertical="center"/>
    </xf>
    <xf numFmtId="4" fontId="3" fillId="3" borderId="14" xfId="0" applyNumberFormat="1" applyFont="1" applyFill="1" applyBorder="1" applyAlignment="1">
      <alignment horizontal="center" vertical="center"/>
    </xf>
    <xf numFmtId="4" fontId="9" fillId="0" borderId="34" xfId="0" applyNumberFormat="1" applyFont="1" applyBorder="1" applyAlignment="1">
      <alignment horizontal="center" vertical="center"/>
    </xf>
    <xf numFmtId="4" fontId="9" fillId="0" borderId="8" xfId="0" applyNumberFormat="1" applyFont="1" applyBorder="1" applyAlignment="1">
      <alignment horizontal="center" vertical="center"/>
    </xf>
    <xf numFmtId="4" fontId="6" fillId="5" borderId="3" xfId="0" applyNumberFormat="1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/>
    <xf numFmtId="4" fontId="2" fillId="0" borderId="0" xfId="0" applyNumberFormat="1" applyFont="1"/>
    <xf numFmtId="4" fontId="6" fillId="5" borderId="18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4" fontId="18" fillId="2" borderId="20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center"/>
    </xf>
    <xf numFmtId="4" fontId="6" fillId="2" borderId="37" xfId="0" applyNumberFormat="1" applyFont="1" applyFill="1" applyBorder="1" applyAlignment="1">
      <alignment horizontal="center" vertical="center"/>
    </xf>
    <xf numFmtId="4" fontId="6" fillId="3" borderId="14" xfId="0" applyNumberFormat="1" applyFont="1" applyFill="1" applyBorder="1" applyAlignment="1">
      <alignment horizontal="center" vertical="center"/>
    </xf>
    <xf numFmtId="4" fontId="6" fillId="0" borderId="17" xfId="0" applyNumberFormat="1" applyFont="1" applyBorder="1" applyAlignment="1">
      <alignment horizontal="center" vertical="center" wrapText="1"/>
    </xf>
    <xf numFmtId="4" fontId="5" fillId="2" borderId="15" xfId="0" applyNumberFormat="1" applyFont="1" applyFill="1" applyBorder="1" applyAlignment="1">
      <alignment horizontal="center" vertical="center"/>
    </xf>
    <xf numFmtId="4" fontId="5" fillId="0" borderId="17" xfId="0" applyNumberFormat="1" applyFont="1" applyBorder="1" applyAlignment="1">
      <alignment horizontal="center" vertical="center" wrapText="1"/>
    </xf>
    <xf numFmtId="4" fontId="5" fillId="0" borderId="28" xfId="0" applyNumberFormat="1" applyFont="1" applyBorder="1" applyAlignment="1">
      <alignment horizontal="center" vertical="center" wrapText="1"/>
    </xf>
    <xf numFmtId="4" fontId="6" fillId="0" borderId="15" xfId="0" applyNumberFormat="1" applyFont="1" applyBorder="1" applyAlignment="1">
      <alignment horizontal="center" vertical="center" wrapText="1"/>
    </xf>
    <xf numFmtId="4" fontId="6" fillId="6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/>
    </xf>
    <xf numFmtId="4" fontId="13" fillId="6" borderId="11" xfId="0" applyNumberFormat="1" applyFont="1" applyFill="1" applyBorder="1" applyAlignment="1">
      <alignment horizontal="center" vertical="center"/>
    </xf>
    <xf numFmtId="4" fontId="13" fillId="6" borderId="33" xfId="0" applyNumberFormat="1" applyFont="1" applyFill="1" applyBorder="1" applyAlignment="1">
      <alignment horizontal="center" vertical="center"/>
    </xf>
    <xf numFmtId="4" fontId="13" fillId="5" borderId="11" xfId="0" applyNumberFormat="1" applyFont="1" applyFill="1" applyBorder="1" applyAlignment="1">
      <alignment horizontal="center" vertical="center"/>
    </xf>
    <xf numFmtId="4" fontId="13" fillId="5" borderId="33" xfId="0" applyNumberFormat="1" applyFont="1" applyFill="1" applyBorder="1" applyAlignment="1">
      <alignment horizontal="center" vertical="center"/>
    </xf>
    <xf numFmtId="4" fontId="13" fillId="7" borderId="11" xfId="0" applyNumberFormat="1" applyFont="1" applyFill="1" applyBorder="1" applyAlignment="1">
      <alignment horizontal="center" vertical="center"/>
    </xf>
    <xf numFmtId="4" fontId="13" fillId="7" borderId="33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3" xfId="0" applyFont="1" applyBorder="1" applyAlignment="1">
      <alignment horizontal="left" wrapText="1"/>
    </xf>
    <xf numFmtId="4" fontId="5" fillId="0" borderId="13" xfId="0" applyNumberFormat="1" applyFont="1" applyBorder="1" applyAlignment="1">
      <alignment horizontal="center" vertical="center"/>
    </xf>
    <xf numFmtId="4" fontId="6" fillId="2" borderId="3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2" borderId="1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2" borderId="10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2" borderId="15" xfId="0" applyNumberFormat="1" applyFont="1" applyFill="1" applyBorder="1" applyAlignment="1">
      <alignment horizontal="center" vertical="center" wrapText="1"/>
    </xf>
    <xf numFmtId="164" fontId="5" fillId="0" borderId="17" xfId="0" applyNumberFormat="1" applyFont="1" applyBorder="1" applyAlignment="1">
      <alignment horizontal="center" vertical="center" wrapText="1"/>
    </xf>
    <xf numFmtId="4" fontId="3" fillId="0" borderId="39" xfId="0" applyNumberFormat="1" applyFont="1" applyBorder="1" applyAlignment="1">
      <alignment horizontal="center" vertical="center"/>
    </xf>
    <xf numFmtId="4" fontId="3" fillId="3" borderId="23" xfId="0" applyNumberFormat="1" applyFont="1" applyFill="1" applyBorder="1" applyAlignment="1">
      <alignment horizontal="center" vertical="center"/>
    </xf>
    <xf numFmtId="4" fontId="6" fillId="2" borderId="15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center" vertical="center" wrapText="1"/>
    </xf>
    <xf numFmtId="4" fontId="5" fillId="2" borderId="10" xfId="0" applyNumberFormat="1" applyFont="1" applyFill="1" applyBorder="1" applyAlignment="1">
      <alignment horizontal="center" vertical="center" wrapText="1"/>
    </xf>
    <xf numFmtId="4" fontId="5" fillId="2" borderId="28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left" wrapText="1"/>
    </xf>
    <xf numFmtId="4" fontId="5" fillId="2" borderId="15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left"/>
    </xf>
    <xf numFmtId="4" fontId="5" fillId="2" borderId="28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7" fillId="0" borderId="10" xfId="0" applyFont="1" applyBorder="1" applyAlignment="1">
      <alignment horizontal="left" vertical="center" wrapText="1"/>
    </xf>
    <xf numFmtId="164" fontId="5" fillId="0" borderId="10" xfId="0" applyNumberFormat="1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wrapText="1"/>
    </xf>
    <xf numFmtId="164" fontId="5" fillId="0" borderId="10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2" borderId="0" xfId="0" applyFont="1" applyFill="1"/>
    <xf numFmtId="0" fontId="10" fillId="2" borderId="21" xfId="0" applyFont="1" applyFill="1" applyBorder="1" applyAlignment="1">
      <alignment horizontal="center" wrapText="1"/>
    </xf>
    <xf numFmtId="4" fontId="1" fillId="2" borderId="0" xfId="0" applyNumberFormat="1" applyFont="1" applyFill="1"/>
    <xf numFmtId="4" fontId="3" fillId="3" borderId="34" xfId="0" applyNumberFormat="1" applyFont="1" applyFill="1" applyBorder="1" applyAlignment="1">
      <alignment horizontal="center" vertical="center"/>
    </xf>
    <xf numFmtId="4" fontId="3" fillId="3" borderId="0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1" fillId="5" borderId="0" xfId="0" applyNumberFormat="1" applyFont="1" applyFill="1"/>
    <xf numFmtId="164" fontId="1" fillId="0" borderId="0" xfId="0" applyNumberFormat="1" applyFont="1"/>
    <xf numFmtId="4" fontId="5" fillId="0" borderId="1" xfId="0" applyNumberFormat="1" applyFont="1" applyFill="1" applyBorder="1" applyAlignment="1">
      <alignment horizontal="center" vertical="center" wrapText="1"/>
    </xf>
    <xf numFmtId="4" fontId="6" fillId="8" borderId="2" xfId="0" applyNumberFormat="1" applyFont="1" applyFill="1" applyBorder="1" applyAlignment="1">
      <alignment horizontal="center" vertical="center" wrapText="1"/>
    </xf>
    <xf numFmtId="4" fontId="6" fillId="8" borderId="1" xfId="0" applyNumberFormat="1" applyFont="1" applyFill="1" applyBorder="1" applyAlignment="1">
      <alignment horizontal="center" vertical="center" wrapText="1"/>
    </xf>
    <xf numFmtId="4" fontId="6" fillId="8" borderId="3" xfId="0" applyNumberFormat="1" applyFont="1" applyFill="1" applyBorder="1" applyAlignment="1">
      <alignment horizontal="center" vertical="center" wrapText="1"/>
    </xf>
    <xf numFmtId="4" fontId="6" fillId="8" borderId="1" xfId="0" applyNumberFormat="1" applyFont="1" applyFill="1" applyBorder="1" applyAlignment="1">
      <alignment horizontal="center" vertical="center"/>
    </xf>
    <xf numFmtId="4" fontId="6" fillId="8" borderId="18" xfId="0" applyNumberFormat="1" applyFont="1" applyFill="1" applyBorder="1" applyAlignment="1">
      <alignment horizontal="center" vertical="center" wrapText="1"/>
    </xf>
    <xf numFmtId="0" fontId="22" fillId="0" borderId="0" xfId="1"/>
    <xf numFmtId="0" fontId="23" fillId="0" borderId="0" xfId="1" applyFont="1" applyFill="1" applyAlignment="1" applyProtection="1">
      <alignment vertical="center"/>
    </xf>
    <xf numFmtId="0" fontId="24" fillId="0" borderId="0" xfId="1" applyFont="1" applyFill="1" applyAlignment="1" applyProtection="1">
      <alignment vertical="center"/>
    </xf>
    <xf numFmtId="166" fontId="24" fillId="0" borderId="0" xfId="1" applyNumberFormat="1" applyFont="1" applyFill="1" applyAlignment="1" applyProtection="1">
      <alignment vertical="center"/>
    </xf>
    <xf numFmtId="3" fontId="25" fillId="0" borderId="0" xfId="1" applyNumberFormat="1" applyFont="1" applyFill="1" applyBorder="1" applyAlignment="1" applyProtection="1">
      <alignment horizontal="right" vertical="center"/>
    </xf>
    <xf numFmtId="165" fontId="23" fillId="0" borderId="0" xfId="1" applyNumberFormat="1" applyFont="1" applyFill="1" applyAlignment="1" applyProtection="1">
      <alignment vertical="center"/>
    </xf>
    <xf numFmtId="0" fontId="23" fillId="0" borderId="0" xfId="1" applyFont="1" applyFill="1" applyBorder="1" applyAlignment="1" applyProtection="1">
      <alignment vertical="center"/>
    </xf>
    <xf numFmtId="0" fontId="22" fillId="0" borderId="0" xfId="1" applyAlignment="1"/>
    <xf numFmtId="0" fontId="26" fillId="0" borderId="0" xfId="1" applyFont="1" applyFill="1" applyAlignment="1" applyProtection="1"/>
    <xf numFmtId="0" fontId="10" fillId="0" borderId="0" xfId="1" applyFont="1" applyFill="1" applyBorder="1" applyAlignment="1" applyProtection="1">
      <alignment horizontal="right" vertical="center"/>
    </xf>
    <xf numFmtId="0" fontId="10" fillId="0" borderId="0" xfId="1" applyFont="1" applyFill="1" applyBorder="1" applyAlignment="1" applyProtection="1">
      <alignment horizontal="left"/>
    </xf>
    <xf numFmtId="0" fontId="11" fillId="0" borderId="0" xfId="1" applyFont="1"/>
    <xf numFmtId="0" fontId="11" fillId="0" borderId="0" xfId="1" applyFont="1" applyFill="1" applyBorder="1" applyAlignment="1" applyProtection="1">
      <alignment horizontal="center" vertical="center"/>
    </xf>
    <xf numFmtId="0" fontId="24" fillId="0" borderId="0" xfId="1" applyFont="1" applyFill="1" applyBorder="1" applyAlignment="1" applyProtection="1">
      <alignment vertical="center" wrapText="1"/>
    </xf>
    <xf numFmtId="0" fontId="10" fillId="0" borderId="0" xfId="1" applyFont="1" applyFill="1" applyBorder="1" applyAlignment="1" applyProtection="1">
      <alignment horizontal="left" vertical="center" wrapText="1"/>
    </xf>
    <xf numFmtId="4" fontId="27" fillId="0" borderId="1" xfId="1" applyNumberFormat="1" applyFont="1" applyFill="1" applyBorder="1" applyAlignment="1" applyProtection="1">
      <alignment horizontal="center" vertical="center"/>
      <protection locked="0"/>
    </xf>
    <xf numFmtId="2" fontId="28" fillId="0" borderId="1" xfId="1" applyNumberFormat="1" applyFont="1" applyBorder="1" applyAlignment="1">
      <alignment horizontal="center" vertical="center"/>
    </xf>
    <xf numFmtId="4" fontId="28" fillId="0" borderId="1" xfId="1" applyNumberFormat="1" applyFont="1" applyBorder="1" applyAlignment="1">
      <alignment horizontal="center" vertical="center"/>
    </xf>
    <xf numFmtId="0" fontId="11" fillId="0" borderId="0" xfId="1" applyFont="1" applyAlignment="1">
      <alignment horizontal="justify" vertical="center"/>
    </xf>
    <xf numFmtId="0" fontId="11" fillId="0" borderId="0" xfId="1" applyFont="1" applyAlignment="1">
      <alignment horizontal="left" vertical="center"/>
    </xf>
    <xf numFmtId="0" fontId="11" fillId="0" borderId="0" xfId="1" applyFont="1" applyAlignment="1">
      <alignment vertical="center"/>
    </xf>
    <xf numFmtId="0" fontId="30" fillId="0" borderId="0" xfId="1" applyFont="1" applyAlignment="1">
      <alignment horizontal="right" vertical="center"/>
    </xf>
    <xf numFmtId="0" fontId="33" fillId="0" borderId="0" xfId="1" applyFont="1" applyFill="1" applyAlignment="1" applyProtection="1">
      <alignment vertical="center"/>
    </xf>
    <xf numFmtId="0" fontId="32" fillId="0" borderId="0" xfId="1" applyFont="1" applyFill="1" applyBorder="1" applyAlignment="1" applyProtection="1">
      <alignment horizontal="left"/>
    </xf>
    <xf numFmtId="0" fontId="33" fillId="0" borderId="0" xfId="1" applyFont="1"/>
    <xf numFmtId="0" fontId="33" fillId="0" borderId="0" xfId="1" applyFont="1" applyFill="1" applyBorder="1" applyAlignment="1" applyProtection="1">
      <alignment horizontal="center" vertical="center"/>
    </xf>
    <xf numFmtId="0" fontId="32" fillId="0" borderId="0" xfId="1" applyFont="1" applyFill="1" applyBorder="1" applyAlignment="1" applyProtection="1">
      <alignment horizontal="right" vertical="center"/>
    </xf>
    <xf numFmtId="0" fontId="29" fillId="0" borderId="1" xfId="1" applyFont="1" applyFill="1" applyBorder="1" applyAlignment="1" applyProtection="1">
      <alignment horizontal="center" vertical="center" wrapText="1"/>
    </xf>
    <xf numFmtId="0" fontId="29" fillId="0" borderId="1" xfId="1" applyFont="1" applyFill="1" applyBorder="1" applyAlignment="1" applyProtection="1">
      <alignment horizontal="center" vertical="center"/>
    </xf>
    <xf numFmtId="0" fontId="27" fillId="0" borderId="1" xfId="1" applyFont="1" applyFill="1" applyBorder="1" applyAlignment="1" applyProtection="1">
      <alignment horizontal="center" vertical="center"/>
    </xf>
    <xf numFmtId="167" fontId="27" fillId="0" borderId="1" xfId="1" applyNumberFormat="1" applyFont="1" applyFill="1" applyBorder="1" applyAlignment="1" applyProtection="1">
      <alignment horizontal="left" vertical="center" wrapText="1" indent="1"/>
    </xf>
    <xf numFmtId="4" fontId="28" fillId="0" borderId="1" xfId="1" applyNumberFormat="1" applyFont="1" applyFill="1" applyBorder="1" applyAlignment="1">
      <alignment horizontal="center" vertical="center"/>
    </xf>
    <xf numFmtId="0" fontId="27" fillId="0" borderId="1" xfId="1" applyFont="1" applyFill="1" applyBorder="1" applyAlignment="1" applyProtection="1">
      <alignment vertical="center"/>
    </xf>
    <xf numFmtId="0" fontId="27" fillId="0" borderId="1" xfId="1" applyFont="1" applyFill="1" applyBorder="1" applyAlignment="1" applyProtection="1">
      <alignment horizontal="left" vertical="center" wrapText="1"/>
    </xf>
    <xf numFmtId="4" fontId="27" fillId="0" borderId="1" xfId="1" applyNumberFormat="1" applyFont="1" applyFill="1" applyBorder="1" applyAlignment="1" applyProtection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13" fillId="0" borderId="9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2" fillId="5" borderId="21" xfId="0" applyFont="1" applyFill="1" applyBorder="1" applyAlignment="1">
      <alignment horizontal="center"/>
    </xf>
    <xf numFmtId="0" fontId="2" fillId="5" borderId="13" xfId="0" applyFont="1" applyFill="1" applyBorder="1" applyAlignment="1">
      <alignment horizontal="center"/>
    </xf>
    <xf numFmtId="0" fontId="10" fillId="4" borderId="21" xfId="0" applyFont="1" applyFill="1" applyBorder="1" applyAlignment="1">
      <alignment horizontal="center" wrapText="1"/>
    </xf>
    <xf numFmtId="0" fontId="10" fillId="4" borderId="13" xfId="0" applyFont="1" applyFill="1" applyBorder="1" applyAlignment="1">
      <alignment horizontal="center" wrapText="1"/>
    </xf>
    <xf numFmtId="0" fontId="2" fillId="3" borderId="22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/>
    </xf>
    <xf numFmtId="0" fontId="5" fillId="2" borderId="4" xfId="0" applyFont="1" applyFill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3" fontId="3" fillId="2" borderId="7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5" fillId="2" borderId="11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2" fillId="4" borderId="21" xfId="0" applyFont="1" applyFill="1" applyBorder="1" applyAlignment="1">
      <alignment horizontal="center" wrapText="1"/>
    </xf>
    <xf numFmtId="0" fontId="2" fillId="4" borderId="13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" fontId="5" fillId="0" borderId="27" xfId="0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4" fontId="9" fillId="0" borderId="20" xfId="0" applyNumberFormat="1" applyFont="1" applyBorder="1" applyAlignment="1">
      <alignment horizontal="center" vertical="center"/>
    </xf>
    <xf numFmtId="4" fontId="9" fillId="0" borderId="38" xfId="0" applyNumberFormat="1" applyFont="1" applyBorder="1" applyAlignment="1">
      <alignment horizontal="center" vertical="center"/>
    </xf>
    <xf numFmtId="4" fontId="9" fillId="0" borderId="8" xfId="0" applyNumberFormat="1" applyFont="1" applyBorder="1" applyAlignment="1">
      <alignment horizontal="center" vertical="center"/>
    </xf>
    <xf numFmtId="4" fontId="9" fillId="0" borderId="17" xfId="0" applyNumberFormat="1" applyFont="1" applyBorder="1" applyAlignment="1">
      <alignment horizontal="center" vertical="center"/>
    </xf>
    <xf numFmtId="4" fontId="9" fillId="0" borderId="34" xfId="0" applyNumberFormat="1" applyFont="1" applyBorder="1" applyAlignment="1">
      <alignment horizontal="center" vertical="center"/>
    </xf>
    <xf numFmtId="4" fontId="17" fillId="2" borderId="40" xfId="0" applyNumberFormat="1" applyFont="1" applyFill="1" applyBorder="1" applyAlignment="1">
      <alignment horizontal="center" vertical="center"/>
    </xf>
    <xf numFmtId="4" fontId="17" fillId="2" borderId="38" xfId="0" applyNumberFormat="1" applyFont="1" applyFill="1" applyBorder="1" applyAlignment="1">
      <alignment horizontal="center" vertical="center"/>
    </xf>
    <xf numFmtId="4" fontId="17" fillId="2" borderId="17" xfId="0" applyNumberFormat="1" applyFont="1" applyFill="1" applyBorder="1" applyAlignment="1">
      <alignment horizontal="center" vertical="center"/>
    </xf>
    <xf numFmtId="4" fontId="17" fillId="2" borderId="34" xfId="0" applyNumberFormat="1" applyFont="1" applyFill="1" applyBorder="1" applyAlignment="1">
      <alignment horizontal="center" vertical="center"/>
    </xf>
    <xf numFmtId="4" fontId="9" fillId="0" borderId="40" xfId="0" applyNumberFormat="1" applyFont="1" applyBorder="1" applyAlignment="1">
      <alignment horizontal="center" vertical="center"/>
    </xf>
    <xf numFmtId="4" fontId="9" fillId="0" borderId="9" xfId="0" applyNumberFormat="1" applyFont="1" applyBorder="1" applyAlignment="1">
      <alignment horizontal="center" vertical="center"/>
    </xf>
    <xf numFmtId="4" fontId="3" fillId="4" borderId="24" xfId="0" applyNumberFormat="1" applyFont="1" applyFill="1" applyBorder="1" applyAlignment="1">
      <alignment horizontal="center" vertical="center" wrapText="1"/>
    </xf>
    <xf numFmtId="4" fontId="3" fillId="4" borderId="35" xfId="0" applyNumberFormat="1" applyFont="1" applyFill="1" applyBorder="1" applyAlignment="1">
      <alignment horizontal="center" vertical="center" wrapText="1"/>
    </xf>
    <xf numFmtId="4" fontId="3" fillId="4" borderId="29" xfId="0" applyNumberFormat="1" applyFont="1" applyFill="1" applyBorder="1" applyAlignment="1">
      <alignment horizontal="center" vertical="center" wrapText="1"/>
    </xf>
    <xf numFmtId="4" fontId="9" fillId="0" borderId="41" xfId="0" applyNumberFormat="1" applyFont="1" applyBorder="1" applyAlignment="1">
      <alignment horizontal="center" vertical="center"/>
    </xf>
    <xf numFmtId="4" fontId="9" fillId="5" borderId="17" xfId="0" applyNumberFormat="1" applyFont="1" applyFill="1" applyBorder="1" applyAlignment="1">
      <alignment horizontal="center" vertical="center"/>
    </xf>
    <xf numFmtId="4" fontId="9" fillId="5" borderId="34" xfId="0" applyNumberFormat="1" applyFont="1" applyFill="1" applyBorder="1" applyAlignment="1">
      <alignment horizontal="center" vertical="center"/>
    </xf>
    <xf numFmtId="4" fontId="9" fillId="5" borderId="33" xfId="0" applyNumberFormat="1" applyFont="1" applyFill="1" applyBorder="1" applyAlignment="1">
      <alignment horizontal="center" vertical="center"/>
    </xf>
    <xf numFmtId="4" fontId="3" fillId="4" borderId="17" xfId="0" applyNumberFormat="1" applyFont="1" applyFill="1" applyBorder="1" applyAlignment="1">
      <alignment horizontal="center" vertical="center" wrapText="1"/>
    </xf>
    <xf numFmtId="4" fontId="3" fillId="4" borderId="34" xfId="0" applyNumberFormat="1" applyFont="1" applyFill="1" applyBorder="1" applyAlignment="1">
      <alignment horizontal="center" vertical="center" wrapText="1"/>
    </xf>
    <xf numFmtId="0" fontId="3" fillId="0" borderId="30" xfId="0" applyFont="1" applyBorder="1" applyAlignment="1">
      <alignment horizontal="center"/>
    </xf>
    <xf numFmtId="0" fontId="3" fillId="0" borderId="39" xfId="0" applyFont="1" applyBorder="1" applyAlignment="1">
      <alignment horizontal="center"/>
    </xf>
    <xf numFmtId="0" fontId="5" fillId="2" borderId="5" xfId="0" applyFont="1" applyFill="1" applyBorder="1" applyAlignment="1">
      <alignment horizontal="center" vertical="top"/>
    </xf>
    <xf numFmtId="0" fontId="5" fillId="2" borderId="8" xfId="0" applyFont="1" applyFill="1" applyBorder="1" applyAlignment="1">
      <alignment horizontal="center" vertical="top"/>
    </xf>
    <xf numFmtId="0" fontId="9" fillId="2" borderId="7" xfId="0" applyFont="1" applyFill="1" applyBorder="1" applyAlignment="1">
      <alignment horizontal="center" vertical="top"/>
    </xf>
    <xf numFmtId="0" fontId="9" fillId="2" borderId="4" xfId="0" applyFont="1" applyFill="1" applyBorder="1" applyAlignment="1">
      <alignment horizontal="center" vertical="top"/>
    </xf>
    <xf numFmtId="0" fontId="10" fillId="4" borderId="21" xfId="0" applyFont="1" applyFill="1" applyBorder="1" applyAlignment="1">
      <alignment horizontal="center"/>
    </xf>
    <xf numFmtId="0" fontId="10" fillId="4" borderId="13" xfId="0" applyFont="1" applyFill="1" applyBorder="1" applyAlignment="1">
      <alignment horizontal="center"/>
    </xf>
    <xf numFmtId="3" fontId="25" fillId="0" borderId="0" xfId="1" applyNumberFormat="1" applyFont="1" applyFill="1" applyBorder="1" applyAlignment="1" applyProtection="1">
      <alignment horizontal="right" vertical="center"/>
    </xf>
    <xf numFmtId="4" fontId="10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>
      <alignment horizontal="left" vertical="center" wrapText="1"/>
    </xf>
    <xf numFmtId="0" fontId="26" fillId="0" borderId="0" xfId="1" applyFont="1" applyFill="1" applyAlignment="1" applyProtection="1"/>
    <xf numFmtId="0" fontId="24" fillId="0" borderId="0" xfId="1" applyFont="1" applyFill="1" applyAlignment="1" applyProtection="1">
      <alignment horizontal="left" vertical="center"/>
    </xf>
    <xf numFmtId="0" fontId="29" fillId="0" borderId="1" xfId="1" applyFont="1" applyFill="1" applyBorder="1" applyAlignment="1" applyProtection="1">
      <alignment horizontal="center" vertical="center"/>
    </xf>
    <xf numFmtId="0" fontId="32" fillId="0" borderId="0" xfId="1" applyFont="1" applyFill="1" applyAlignment="1" applyProtection="1">
      <alignment horizontal="center" vertical="center"/>
    </xf>
    <xf numFmtId="0" fontId="31" fillId="0" borderId="0" xfId="1" applyFont="1" applyFill="1" applyAlignment="1" applyProtection="1">
      <alignment horizontal="center" vertical="center" wrapText="1"/>
    </xf>
    <xf numFmtId="0" fontId="29" fillId="0" borderId="1" xfId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D155"/>
  <sheetViews>
    <sheetView topLeftCell="F138" zoomScale="70" zoomScaleNormal="70" workbookViewId="0">
      <selection activeCell="L147" sqref="L147"/>
    </sheetView>
  </sheetViews>
  <sheetFormatPr defaultRowHeight="19.5" x14ac:dyDescent="0.3"/>
  <cols>
    <col min="1" max="1" width="2.7109375" style="1" hidden="1" customWidth="1"/>
    <col min="2" max="2" width="29.28515625" style="61" hidden="1" customWidth="1"/>
    <col min="3" max="3" width="22" style="61" hidden="1" customWidth="1"/>
    <col min="4" max="5" width="22" style="72" hidden="1" customWidth="1"/>
    <col min="6" max="6" width="10.140625" style="1" customWidth="1"/>
    <col min="7" max="7" width="38.5703125" style="16" customWidth="1"/>
    <col min="8" max="8" width="15.5703125" style="16" customWidth="1"/>
    <col min="9" max="9" width="129" style="1" customWidth="1"/>
    <col min="10" max="10" width="14.85546875" style="9" customWidth="1"/>
    <col min="11" max="11" width="14.42578125" style="112" customWidth="1"/>
    <col min="12" max="12" width="17.85546875" style="18" customWidth="1"/>
    <col min="13" max="13" width="16.28515625" style="18" customWidth="1"/>
    <col min="14" max="14" width="17.28515625" style="18" customWidth="1"/>
    <col min="15" max="15" width="19.85546875" style="74" hidden="1" customWidth="1"/>
    <col min="16" max="16" width="19.28515625" style="74" hidden="1" customWidth="1"/>
    <col min="17" max="17" width="23.85546875" style="1" hidden="1" customWidth="1"/>
    <col min="18" max="18" width="26.140625" style="1" hidden="1" customWidth="1"/>
    <col min="19" max="19" width="11.28515625" style="1" hidden="1" customWidth="1"/>
    <col min="20" max="38" width="0" style="1" hidden="1" customWidth="1"/>
    <col min="39" max="39" width="11" style="1" hidden="1" customWidth="1"/>
    <col min="40" max="40" width="13.85546875" style="1" hidden="1" customWidth="1"/>
    <col min="41" max="16384" width="9.140625" style="1"/>
  </cols>
  <sheetData>
    <row r="1" spans="1:160" hidden="1" x14ac:dyDescent="0.3"/>
    <row r="2" spans="1:160" hidden="1" x14ac:dyDescent="0.3"/>
    <row r="3" spans="1:160" x14ac:dyDescent="0.3">
      <c r="B3" s="243" t="s">
        <v>15</v>
      </c>
      <c r="C3" s="243"/>
      <c r="D3" s="243"/>
      <c r="E3" s="243"/>
      <c r="F3" s="243"/>
      <c r="G3" s="243"/>
      <c r="H3" s="243"/>
      <c r="I3" s="243"/>
      <c r="J3" s="243"/>
      <c r="K3" s="243"/>
      <c r="L3" s="243"/>
      <c r="M3" s="243"/>
      <c r="N3" s="243"/>
    </row>
    <row r="4" spans="1:160" x14ac:dyDescent="0.3">
      <c r="B4" s="244" t="s">
        <v>211</v>
      </c>
      <c r="C4" s="244"/>
      <c r="D4" s="244"/>
      <c r="E4" s="244"/>
      <c r="F4" s="244"/>
      <c r="G4" s="244"/>
      <c r="H4" s="244"/>
      <c r="I4" s="244"/>
      <c r="J4" s="244"/>
      <c r="K4" s="244"/>
      <c r="L4" s="244"/>
      <c r="M4" s="244"/>
      <c r="N4" s="244"/>
      <c r="O4" s="75"/>
    </row>
    <row r="5" spans="1:160" ht="20.25" thickBot="1" x14ac:dyDescent="0.35">
      <c r="B5" s="62" t="s">
        <v>13</v>
      </c>
      <c r="C5" s="62"/>
      <c r="D5" s="73"/>
      <c r="E5" s="73"/>
      <c r="F5" s="2"/>
      <c r="G5" s="17"/>
      <c r="H5" s="17"/>
      <c r="I5" s="2"/>
      <c r="J5" s="10"/>
      <c r="K5" s="113"/>
      <c r="L5" s="19"/>
      <c r="M5" s="261"/>
      <c r="N5" s="261"/>
      <c r="O5" s="76">
        <v>0.1023</v>
      </c>
      <c r="P5" s="76">
        <f>100%-O5</f>
        <v>0.89769999999999994</v>
      </c>
    </row>
    <row r="6" spans="1:160" ht="69.75" customHeight="1" thickBot="1" x14ac:dyDescent="0.3">
      <c r="B6" s="63" t="s">
        <v>0</v>
      </c>
      <c r="C6" s="64" t="s">
        <v>1</v>
      </c>
      <c r="D6" s="71" t="s">
        <v>47</v>
      </c>
      <c r="E6" s="71" t="s">
        <v>48</v>
      </c>
      <c r="F6" s="7" t="s">
        <v>4</v>
      </c>
      <c r="G6" s="7" t="s">
        <v>2</v>
      </c>
      <c r="H6" s="7"/>
      <c r="I6" s="6" t="s">
        <v>3</v>
      </c>
      <c r="J6" s="11" t="s">
        <v>9</v>
      </c>
      <c r="K6" s="114" t="s">
        <v>10</v>
      </c>
      <c r="L6" s="20" t="s">
        <v>14</v>
      </c>
      <c r="M6" s="21" t="s">
        <v>5</v>
      </c>
      <c r="N6" s="92" t="s">
        <v>6</v>
      </c>
      <c r="O6" s="65" t="s">
        <v>56</v>
      </c>
      <c r="P6" s="66" t="s">
        <v>57</v>
      </c>
    </row>
    <row r="7" spans="1:160" ht="24" customHeight="1" x14ac:dyDescent="0.25">
      <c r="A7" s="38"/>
      <c r="B7" s="265" t="s">
        <v>16</v>
      </c>
      <c r="C7" s="263" t="s">
        <v>7</v>
      </c>
      <c r="D7" s="267" t="s">
        <v>58</v>
      </c>
      <c r="E7" s="267" t="s">
        <v>73</v>
      </c>
      <c r="F7" s="203">
        <v>1</v>
      </c>
      <c r="G7" s="209" t="s">
        <v>197</v>
      </c>
      <c r="H7" s="37" t="s">
        <v>12</v>
      </c>
      <c r="I7" s="251" t="s">
        <v>11</v>
      </c>
      <c r="J7" s="251"/>
      <c r="K7" s="251"/>
      <c r="L7" s="36">
        <f>L8</f>
        <v>15520.460000000005</v>
      </c>
      <c r="M7" s="36">
        <f>M8</f>
        <v>24989.02</v>
      </c>
      <c r="N7" s="93">
        <f t="shared" ref="N7" si="0">N8</f>
        <v>20824.18</v>
      </c>
      <c r="O7" s="127">
        <f>O8</f>
        <v>2130.3136140000001</v>
      </c>
      <c r="P7" s="78">
        <f>P8</f>
        <v>18693.866386000002</v>
      </c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  <c r="CU7" s="40"/>
      <c r="CV7" s="40"/>
      <c r="CW7" s="40"/>
      <c r="CX7" s="40"/>
      <c r="CY7" s="40"/>
      <c r="CZ7" s="40"/>
      <c r="DA7" s="40"/>
      <c r="DB7" s="40"/>
      <c r="DC7" s="40"/>
      <c r="DD7" s="40"/>
      <c r="DE7" s="40"/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/>
      <c r="DR7" s="40"/>
      <c r="DS7" s="40"/>
      <c r="DT7" s="40"/>
      <c r="DU7" s="40"/>
      <c r="DV7" s="40"/>
      <c r="DW7" s="40"/>
      <c r="DX7" s="40"/>
      <c r="DY7" s="40"/>
      <c r="DZ7" s="40"/>
      <c r="EA7" s="40"/>
      <c r="EB7" s="40"/>
      <c r="EC7" s="40"/>
      <c r="ED7" s="40"/>
      <c r="EE7" s="40"/>
      <c r="EF7" s="40"/>
      <c r="EG7" s="40"/>
      <c r="EH7" s="40"/>
      <c r="EI7" s="40"/>
      <c r="EJ7" s="40"/>
      <c r="EK7" s="40"/>
      <c r="EL7" s="40"/>
      <c r="EM7" s="40"/>
      <c r="EN7" s="40"/>
      <c r="EO7" s="40"/>
      <c r="EP7" s="40"/>
      <c r="EQ7" s="40"/>
      <c r="ER7" s="40"/>
      <c r="ES7" s="40"/>
      <c r="ET7" s="40"/>
      <c r="EU7" s="40"/>
      <c r="EV7" s="40"/>
      <c r="EW7" s="40"/>
      <c r="EX7" s="40"/>
      <c r="EY7" s="40"/>
      <c r="EZ7" s="40"/>
      <c r="FA7" s="40"/>
      <c r="FB7" s="40"/>
      <c r="FC7" s="40"/>
      <c r="FD7" s="40"/>
    </row>
    <row r="8" spans="1:160" s="35" customFormat="1" ht="24" customHeight="1" x14ac:dyDescent="0.25">
      <c r="A8" s="39"/>
      <c r="B8" s="266"/>
      <c r="C8" s="264"/>
      <c r="D8" s="268"/>
      <c r="E8" s="268"/>
      <c r="F8" s="212"/>
      <c r="G8" s="259"/>
      <c r="H8" s="249" t="s">
        <v>41</v>
      </c>
      <c r="I8" s="250"/>
      <c r="J8" s="12"/>
      <c r="K8" s="115"/>
      <c r="L8" s="42">
        <f>SUM(L9:L14)</f>
        <v>15520.460000000005</v>
      </c>
      <c r="M8" s="160">
        <v>24989.02</v>
      </c>
      <c r="N8" s="128">
        <f>SUM(N9:N14)</f>
        <v>20824.18</v>
      </c>
      <c r="O8" s="275">
        <f>N8*O5</f>
        <v>2130.3136140000001</v>
      </c>
      <c r="P8" s="277">
        <f>N7-O7</f>
        <v>18693.866386000002</v>
      </c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  <c r="CJ8" s="40"/>
      <c r="CK8" s="40"/>
      <c r="CL8" s="40"/>
      <c r="CM8" s="40"/>
      <c r="CN8" s="40"/>
      <c r="CO8" s="40"/>
      <c r="CP8" s="40"/>
      <c r="CQ8" s="40"/>
      <c r="CR8" s="40"/>
      <c r="CS8" s="40"/>
      <c r="CT8" s="40"/>
      <c r="CU8" s="40"/>
      <c r="CV8" s="40"/>
      <c r="CW8" s="40"/>
      <c r="CX8" s="40"/>
      <c r="CY8" s="40"/>
      <c r="CZ8" s="40"/>
      <c r="DA8" s="40"/>
      <c r="DB8" s="40"/>
      <c r="DC8" s="40"/>
      <c r="DD8" s="40"/>
      <c r="DE8" s="40"/>
      <c r="DF8" s="40"/>
      <c r="DG8" s="40"/>
      <c r="DH8" s="40"/>
      <c r="DI8" s="40"/>
      <c r="DJ8" s="40"/>
      <c r="DK8" s="40"/>
      <c r="DL8" s="40"/>
      <c r="DM8" s="40"/>
      <c r="DN8" s="40"/>
      <c r="DO8" s="40"/>
      <c r="DP8" s="40"/>
      <c r="DQ8" s="40"/>
      <c r="DR8" s="40"/>
      <c r="DS8" s="40"/>
      <c r="DT8" s="40"/>
      <c r="DU8" s="40"/>
      <c r="DV8" s="40"/>
      <c r="DW8" s="40"/>
      <c r="DX8" s="40"/>
      <c r="DY8" s="40"/>
      <c r="DZ8" s="40"/>
      <c r="EA8" s="40"/>
      <c r="EB8" s="40"/>
      <c r="EC8" s="40"/>
      <c r="ED8" s="40"/>
      <c r="EE8" s="40"/>
      <c r="EF8" s="40"/>
      <c r="EG8" s="40"/>
      <c r="EH8" s="40"/>
      <c r="EI8" s="40"/>
      <c r="EJ8" s="40"/>
      <c r="EK8" s="40"/>
      <c r="EL8" s="40"/>
      <c r="EM8" s="40"/>
      <c r="EN8" s="40"/>
      <c r="EO8" s="40"/>
      <c r="EP8" s="40"/>
      <c r="EQ8" s="40"/>
      <c r="ER8" s="40"/>
      <c r="ES8" s="40"/>
      <c r="ET8" s="40"/>
      <c r="EU8" s="40"/>
      <c r="EV8" s="40"/>
      <c r="EW8" s="40"/>
      <c r="EX8" s="40"/>
      <c r="EY8" s="40"/>
      <c r="EZ8" s="40"/>
      <c r="FA8" s="40"/>
      <c r="FB8" s="40"/>
      <c r="FC8" s="40"/>
      <c r="FD8" s="40"/>
    </row>
    <row r="9" spans="1:160" s="35" customFormat="1" ht="24" customHeight="1" x14ac:dyDescent="0.25">
      <c r="A9" s="39"/>
      <c r="B9" s="266"/>
      <c r="C9" s="264"/>
      <c r="D9" s="268"/>
      <c r="E9" s="268"/>
      <c r="F9" s="212"/>
      <c r="G9" s="259"/>
      <c r="H9" s="90"/>
      <c r="I9" s="108" t="s">
        <v>187</v>
      </c>
      <c r="J9" s="47" t="s">
        <v>49</v>
      </c>
      <c r="K9" s="115">
        <f>100*0.04</f>
        <v>4</v>
      </c>
      <c r="L9" s="41">
        <f>15.53+28.67</f>
        <v>44.2</v>
      </c>
      <c r="M9" s="25">
        <f>L9*$M$8/$L$8</f>
        <v>71.165073973322947</v>
      </c>
      <c r="N9" s="95">
        <f t="shared" ref="N9:N13" si="1">ROUND(M9/1.2,2)</f>
        <v>59.3</v>
      </c>
      <c r="O9" s="276"/>
      <c r="P9" s="278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BZ9" s="40"/>
      <c r="CA9" s="40"/>
      <c r="CB9" s="40"/>
      <c r="CC9" s="40"/>
      <c r="CD9" s="40"/>
      <c r="CE9" s="40"/>
      <c r="CF9" s="40"/>
      <c r="CG9" s="40"/>
      <c r="CH9" s="40"/>
      <c r="CI9" s="40"/>
      <c r="CJ9" s="40"/>
      <c r="CK9" s="40"/>
      <c r="CL9" s="40"/>
      <c r="CM9" s="40"/>
      <c r="CN9" s="40"/>
      <c r="CO9" s="40"/>
      <c r="CP9" s="40"/>
      <c r="CQ9" s="40"/>
      <c r="CR9" s="40"/>
      <c r="CS9" s="40"/>
      <c r="CT9" s="40"/>
      <c r="CU9" s="40"/>
      <c r="CV9" s="40"/>
      <c r="CW9" s="40"/>
      <c r="CX9" s="40"/>
      <c r="CY9" s="40"/>
      <c r="CZ9" s="40"/>
      <c r="DA9" s="40"/>
      <c r="DB9" s="40"/>
      <c r="DC9" s="40"/>
      <c r="DD9" s="40"/>
      <c r="DE9" s="40"/>
      <c r="DF9" s="40"/>
      <c r="DG9" s="40"/>
      <c r="DH9" s="40"/>
      <c r="DI9" s="40"/>
      <c r="DJ9" s="40"/>
      <c r="DK9" s="40"/>
      <c r="DL9" s="40"/>
      <c r="DM9" s="40"/>
      <c r="DN9" s="40"/>
      <c r="DO9" s="40"/>
      <c r="DP9" s="40"/>
      <c r="DQ9" s="40"/>
      <c r="DR9" s="40"/>
      <c r="DS9" s="40"/>
      <c r="DT9" s="40"/>
      <c r="DU9" s="40"/>
      <c r="DV9" s="40"/>
      <c r="DW9" s="40"/>
      <c r="DX9" s="40"/>
      <c r="DY9" s="40"/>
      <c r="DZ9" s="40"/>
      <c r="EA9" s="40"/>
      <c r="EB9" s="40"/>
      <c r="EC9" s="40"/>
      <c r="ED9" s="40"/>
      <c r="EE9" s="40"/>
      <c r="EF9" s="40"/>
      <c r="EG9" s="40"/>
      <c r="EH9" s="40"/>
      <c r="EI9" s="40"/>
      <c r="EJ9" s="40"/>
      <c r="EK9" s="40"/>
      <c r="EL9" s="40"/>
      <c r="EM9" s="40"/>
      <c r="EN9" s="40"/>
      <c r="EO9" s="40"/>
      <c r="EP9" s="40"/>
      <c r="EQ9" s="40"/>
      <c r="ER9" s="40"/>
      <c r="ES9" s="40"/>
      <c r="ET9" s="40"/>
      <c r="EU9" s="40"/>
      <c r="EV9" s="40"/>
      <c r="EW9" s="40"/>
      <c r="EX9" s="40"/>
      <c r="EY9" s="40"/>
      <c r="EZ9" s="40"/>
      <c r="FA9" s="40"/>
      <c r="FB9" s="40"/>
      <c r="FC9" s="40"/>
      <c r="FD9" s="40"/>
    </row>
    <row r="10" spans="1:160" s="35" customFormat="1" ht="24" customHeight="1" x14ac:dyDescent="0.25">
      <c r="A10" s="39"/>
      <c r="B10" s="266"/>
      <c r="C10" s="264"/>
      <c r="D10" s="268"/>
      <c r="E10" s="268"/>
      <c r="F10" s="212"/>
      <c r="G10" s="259"/>
      <c r="H10" s="90"/>
      <c r="I10" s="108" t="s">
        <v>130</v>
      </c>
      <c r="J10" s="47" t="s">
        <v>49</v>
      </c>
      <c r="K10" s="115">
        <f>100*0.03</f>
        <v>3</v>
      </c>
      <c r="L10" s="41">
        <v>17.920000000000002</v>
      </c>
      <c r="M10" s="25">
        <f t="shared" ref="M10:M14" si="2">L10*$M$8/$L$8</f>
        <v>28.852446280587039</v>
      </c>
      <c r="N10" s="95">
        <f t="shared" si="1"/>
        <v>24.04</v>
      </c>
      <c r="O10" s="276"/>
      <c r="P10" s="278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  <c r="BM10" s="40"/>
      <c r="BN10" s="40"/>
      <c r="BO10" s="40"/>
      <c r="BP10" s="40"/>
      <c r="BQ10" s="40"/>
      <c r="BR10" s="40"/>
      <c r="BS10" s="40"/>
      <c r="BT10" s="40"/>
      <c r="BU10" s="40"/>
      <c r="BV10" s="40"/>
      <c r="BW10" s="40"/>
      <c r="BX10" s="40"/>
      <c r="BY10" s="40"/>
      <c r="BZ10" s="40"/>
      <c r="CA10" s="40"/>
      <c r="CB10" s="40"/>
      <c r="CC10" s="40"/>
      <c r="CD10" s="40"/>
      <c r="CE10" s="40"/>
      <c r="CF10" s="40"/>
      <c r="CG10" s="40"/>
      <c r="CH10" s="40"/>
      <c r="CI10" s="40"/>
      <c r="CJ10" s="40"/>
      <c r="CK10" s="40"/>
      <c r="CL10" s="40"/>
      <c r="CM10" s="40"/>
      <c r="CN10" s="40"/>
      <c r="CO10" s="40"/>
      <c r="CP10" s="40"/>
      <c r="CQ10" s="40"/>
      <c r="CR10" s="40"/>
      <c r="CS10" s="40"/>
      <c r="CT10" s="40"/>
      <c r="CU10" s="40"/>
      <c r="CV10" s="40"/>
      <c r="CW10" s="40"/>
      <c r="CX10" s="40"/>
      <c r="CY10" s="40"/>
      <c r="CZ10" s="40"/>
      <c r="DA10" s="40"/>
      <c r="DB10" s="40"/>
      <c r="DC10" s="40"/>
      <c r="DD10" s="40"/>
      <c r="DE10" s="40"/>
      <c r="DF10" s="40"/>
      <c r="DG10" s="40"/>
      <c r="DH10" s="40"/>
      <c r="DI10" s="40"/>
      <c r="DJ10" s="40"/>
      <c r="DK10" s="40"/>
      <c r="DL10" s="40"/>
      <c r="DM10" s="40"/>
      <c r="DN10" s="40"/>
      <c r="DO10" s="40"/>
      <c r="DP10" s="40"/>
      <c r="DQ10" s="40"/>
      <c r="DR10" s="40"/>
      <c r="DS10" s="40"/>
      <c r="DT10" s="40"/>
      <c r="DU10" s="40"/>
      <c r="DV10" s="40"/>
      <c r="DW10" s="40"/>
      <c r="DX10" s="40"/>
      <c r="DY10" s="40"/>
      <c r="DZ10" s="40"/>
      <c r="EA10" s="40"/>
      <c r="EB10" s="40"/>
      <c r="EC10" s="40"/>
      <c r="ED10" s="40"/>
      <c r="EE10" s="40"/>
      <c r="EF10" s="40"/>
      <c r="EG10" s="40"/>
      <c r="EH10" s="40"/>
      <c r="EI10" s="40"/>
      <c r="EJ10" s="40"/>
      <c r="EK10" s="40"/>
      <c r="EL10" s="40"/>
      <c r="EM10" s="40"/>
      <c r="EN10" s="40"/>
      <c r="EO10" s="40"/>
      <c r="EP10" s="40"/>
      <c r="EQ10" s="40"/>
      <c r="ER10" s="40"/>
      <c r="ES10" s="40"/>
      <c r="ET10" s="40"/>
      <c r="EU10" s="40"/>
      <c r="EV10" s="40"/>
      <c r="EW10" s="40"/>
      <c r="EX10" s="40"/>
      <c r="EY10" s="40"/>
      <c r="EZ10" s="40"/>
      <c r="FA10" s="40"/>
      <c r="FB10" s="40"/>
      <c r="FC10" s="40"/>
      <c r="FD10" s="40"/>
    </row>
    <row r="11" spans="1:160" s="35" customFormat="1" ht="24" customHeight="1" x14ac:dyDescent="0.25">
      <c r="A11" s="39"/>
      <c r="B11" s="266"/>
      <c r="C11" s="264"/>
      <c r="D11" s="268"/>
      <c r="E11" s="268"/>
      <c r="F11" s="212"/>
      <c r="G11" s="259"/>
      <c r="H11" s="90"/>
      <c r="I11" s="108" t="s">
        <v>159</v>
      </c>
      <c r="J11" s="47" t="s">
        <v>52</v>
      </c>
      <c r="K11" s="115">
        <f>100*6.58</f>
        <v>658</v>
      </c>
      <c r="L11" s="41">
        <f>1730.87+130.21</f>
        <v>1861.08</v>
      </c>
      <c r="M11" s="25">
        <f t="shared" si="2"/>
        <v>2996.4682323590914</v>
      </c>
      <c r="N11" s="95">
        <f t="shared" si="1"/>
        <v>2497.06</v>
      </c>
      <c r="O11" s="276"/>
      <c r="P11" s="278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  <c r="CE11" s="40"/>
      <c r="CF11" s="40"/>
      <c r="CG11" s="40"/>
      <c r="CH11" s="40"/>
      <c r="CI11" s="40"/>
      <c r="CJ11" s="40"/>
      <c r="CK11" s="40"/>
      <c r="CL11" s="40"/>
      <c r="CM11" s="40"/>
      <c r="CN11" s="40"/>
      <c r="CO11" s="40"/>
      <c r="CP11" s="40"/>
      <c r="CQ11" s="40"/>
      <c r="CR11" s="40"/>
      <c r="CS11" s="40"/>
      <c r="CT11" s="40"/>
      <c r="CU11" s="40"/>
      <c r="CV11" s="40"/>
      <c r="CW11" s="40"/>
      <c r="CX11" s="40"/>
      <c r="CY11" s="40"/>
      <c r="CZ11" s="40"/>
      <c r="DA11" s="40"/>
      <c r="DB11" s="40"/>
      <c r="DC11" s="40"/>
      <c r="DD11" s="40"/>
      <c r="DE11" s="40"/>
      <c r="DF11" s="40"/>
      <c r="DG11" s="40"/>
      <c r="DH11" s="40"/>
      <c r="DI11" s="40"/>
      <c r="DJ11" s="40"/>
      <c r="DK11" s="40"/>
      <c r="DL11" s="40"/>
      <c r="DM11" s="40"/>
      <c r="DN11" s="40"/>
      <c r="DO11" s="40"/>
      <c r="DP11" s="40"/>
      <c r="DQ11" s="40"/>
      <c r="DR11" s="40"/>
      <c r="DS11" s="40"/>
      <c r="DT11" s="40"/>
      <c r="DU11" s="40"/>
      <c r="DV11" s="40"/>
      <c r="DW11" s="40"/>
      <c r="DX11" s="40"/>
      <c r="DY11" s="40"/>
      <c r="DZ11" s="40"/>
      <c r="EA11" s="40"/>
      <c r="EB11" s="40"/>
      <c r="EC11" s="40"/>
      <c r="ED11" s="40"/>
      <c r="EE11" s="40"/>
      <c r="EF11" s="40"/>
      <c r="EG11" s="40"/>
      <c r="EH11" s="40"/>
      <c r="EI11" s="40"/>
      <c r="EJ11" s="40"/>
      <c r="EK11" s="40"/>
      <c r="EL11" s="40"/>
      <c r="EM11" s="40"/>
      <c r="EN11" s="40"/>
      <c r="EO11" s="40"/>
      <c r="EP11" s="40"/>
      <c r="EQ11" s="40"/>
      <c r="ER11" s="40"/>
      <c r="ES11" s="40"/>
      <c r="ET11" s="40"/>
      <c r="EU11" s="40"/>
      <c r="EV11" s="40"/>
      <c r="EW11" s="40"/>
      <c r="EX11" s="40"/>
      <c r="EY11" s="40"/>
      <c r="EZ11" s="40"/>
      <c r="FA11" s="40"/>
      <c r="FB11" s="40"/>
      <c r="FC11" s="40"/>
      <c r="FD11" s="40"/>
    </row>
    <row r="12" spans="1:160" s="35" customFormat="1" ht="24" customHeight="1" x14ac:dyDescent="0.25">
      <c r="A12" s="39"/>
      <c r="B12" s="266"/>
      <c r="C12" s="264"/>
      <c r="D12" s="268"/>
      <c r="E12" s="268"/>
      <c r="F12" s="212"/>
      <c r="G12" s="259"/>
      <c r="H12" s="90"/>
      <c r="I12" s="108" t="s">
        <v>127</v>
      </c>
      <c r="J12" s="47" t="s">
        <v>49</v>
      </c>
      <c r="K12" s="115">
        <f>100*0.04</f>
        <v>4</v>
      </c>
      <c r="L12" s="41">
        <f>51.92+212.36+33.54+25.15+1.98+173.56+224.58+104.14</f>
        <v>827.23</v>
      </c>
      <c r="M12" s="25">
        <f t="shared" si="2"/>
        <v>1331.8978312885054</v>
      </c>
      <c r="N12" s="95">
        <f t="shared" si="1"/>
        <v>1109.9100000000001</v>
      </c>
      <c r="O12" s="276"/>
      <c r="P12" s="278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  <c r="CK12" s="40"/>
      <c r="CL12" s="40"/>
      <c r="CM12" s="40"/>
      <c r="CN12" s="40"/>
      <c r="CO12" s="40"/>
      <c r="CP12" s="40"/>
      <c r="CQ12" s="40"/>
      <c r="CR12" s="40"/>
      <c r="CS12" s="40"/>
      <c r="CT12" s="40"/>
      <c r="CU12" s="40"/>
      <c r="CV12" s="40"/>
      <c r="CW12" s="40"/>
      <c r="CX12" s="40"/>
      <c r="CY12" s="40"/>
      <c r="CZ12" s="40"/>
      <c r="DA12" s="40"/>
      <c r="DB12" s="40"/>
      <c r="DC12" s="40"/>
      <c r="DD12" s="40"/>
      <c r="DE12" s="40"/>
      <c r="DF12" s="40"/>
      <c r="DG12" s="40"/>
      <c r="DH12" s="40"/>
      <c r="DI12" s="40"/>
      <c r="DJ12" s="40"/>
      <c r="DK12" s="40"/>
      <c r="DL12" s="40"/>
      <c r="DM12" s="40"/>
      <c r="DN12" s="40"/>
      <c r="DO12" s="40"/>
      <c r="DP12" s="40"/>
      <c r="DQ12" s="40"/>
      <c r="DR12" s="40"/>
      <c r="DS12" s="40"/>
      <c r="DT12" s="40"/>
      <c r="DU12" s="40"/>
      <c r="DV12" s="40"/>
      <c r="DW12" s="40"/>
      <c r="DX12" s="40"/>
      <c r="DY12" s="40"/>
      <c r="DZ12" s="40"/>
      <c r="EA12" s="40"/>
      <c r="EB12" s="40"/>
      <c r="EC12" s="40"/>
      <c r="ED12" s="40"/>
      <c r="EE12" s="40"/>
      <c r="EF12" s="40"/>
      <c r="EG12" s="40"/>
      <c r="EH12" s="40"/>
      <c r="EI12" s="40"/>
      <c r="EJ12" s="40"/>
      <c r="EK12" s="40"/>
      <c r="EL12" s="40"/>
      <c r="EM12" s="40"/>
      <c r="EN12" s="40"/>
      <c r="EO12" s="40"/>
      <c r="EP12" s="40"/>
      <c r="EQ12" s="40"/>
      <c r="ER12" s="40"/>
      <c r="ES12" s="40"/>
      <c r="ET12" s="40"/>
      <c r="EU12" s="40"/>
      <c r="EV12" s="40"/>
      <c r="EW12" s="40"/>
      <c r="EX12" s="40"/>
      <c r="EY12" s="40"/>
      <c r="EZ12" s="40"/>
      <c r="FA12" s="40"/>
      <c r="FB12" s="40"/>
      <c r="FC12" s="40"/>
      <c r="FD12" s="40"/>
    </row>
    <row r="13" spans="1:160" s="35" customFormat="1" ht="24" customHeight="1" x14ac:dyDescent="0.25">
      <c r="A13" s="39"/>
      <c r="B13" s="266"/>
      <c r="C13" s="264"/>
      <c r="D13" s="268"/>
      <c r="E13" s="268"/>
      <c r="F13" s="212"/>
      <c r="G13" s="259"/>
      <c r="H13" s="90"/>
      <c r="I13" s="108" t="s">
        <v>128</v>
      </c>
      <c r="J13" s="47" t="s">
        <v>49</v>
      </c>
      <c r="K13" s="115">
        <f>100*0.03</f>
        <v>3</v>
      </c>
      <c r="L13" s="41">
        <f>65.23+742.98+23.1+61.32+15.78</f>
        <v>908.41000000000008</v>
      </c>
      <c r="M13" s="25">
        <f t="shared" si="2"/>
        <v>1462.6032771064772</v>
      </c>
      <c r="N13" s="95">
        <f t="shared" si="1"/>
        <v>1218.8399999999999</v>
      </c>
      <c r="O13" s="276"/>
      <c r="P13" s="278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0"/>
      <c r="BI13" s="40"/>
      <c r="BJ13" s="40"/>
      <c r="BK13" s="40"/>
      <c r="BL13" s="40"/>
      <c r="BM13" s="40"/>
      <c r="BN13" s="40"/>
      <c r="BO13" s="40"/>
      <c r="BP13" s="40"/>
      <c r="BQ13" s="40"/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  <c r="CK13" s="40"/>
      <c r="CL13" s="40"/>
      <c r="CM13" s="40"/>
      <c r="CN13" s="40"/>
      <c r="CO13" s="40"/>
      <c r="CP13" s="40"/>
      <c r="CQ13" s="40"/>
      <c r="CR13" s="40"/>
      <c r="CS13" s="40"/>
      <c r="CT13" s="40"/>
      <c r="CU13" s="40"/>
      <c r="CV13" s="40"/>
      <c r="CW13" s="40"/>
      <c r="CX13" s="40"/>
      <c r="CY13" s="40"/>
      <c r="CZ13" s="40"/>
      <c r="DA13" s="40"/>
      <c r="DB13" s="40"/>
      <c r="DC13" s="40"/>
      <c r="DD13" s="40"/>
      <c r="DE13" s="40"/>
      <c r="DF13" s="40"/>
      <c r="DG13" s="40"/>
      <c r="DH13" s="40"/>
      <c r="DI13" s="40"/>
      <c r="DJ13" s="40"/>
      <c r="DK13" s="40"/>
      <c r="DL13" s="40"/>
      <c r="DM13" s="40"/>
      <c r="DN13" s="40"/>
      <c r="DO13" s="40"/>
      <c r="DP13" s="40"/>
      <c r="DQ13" s="40"/>
      <c r="DR13" s="40"/>
      <c r="DS13" s="40"/>
      <c r="DT13" s="40"/>
      <c r="DU13" s="40"/>
      <c r="DV13" s="40"/>
      <c r="DW13" s="40"/>
      <c r="DX13" s="40"/>
      <c r="DY13" s="40"/>
      <c r="DZ13" s="40"/>
      <c r="EA13" s="40"/>
      <c r="EB13" s="40"/>
      <c r="EC13" s="40"/>
      <c r="ED13" s="40"/>
      <c r="EE13" s="40"/>
      <c r="EF13" s="40"/>
      <c r="EG13" s="40"/>
      <c r="EH13" s="40"/>
      <c r="EI13" s="40"/>
      <c r="EJ13" s="40"/>
      <c r="EK13" s="40"/>
      <c r="EL13" s="40"/>
      <c r="EM13" s="40"/>
      <c r="EN13" s="40"/>
      <c r="EO13" s="40"/>
      <c r="EP13" s="40"/>
      <c r="EQ13" s="40"/>
      <c r="ER13" s="40"/>
      <c r="ES13" s="40"/>
      <c r="ET13" s="40"/>
      <c r="EU13" s="40"/>
      <c r="EV13" s="40"/>
      <c r="EW13" s="40"/>
      <c r="EX13" s="40"/>
      <c r="EY13" s="40"/>
      <c r="EZ13" s="40"/>
      <c r="FA13" s="40"/>
      <c r="FB13" s="40"/>
      <c r="FC13" s="40"/>
      <c r="FD13" s="40"/>
    </row>
    <row r="14" spans="1:160" s="35" customFormat="1" ht="22.5" customHeight="1" thickBot="1" x14ac:dyDescent="0.3">
      <c r="A14" s="39"/>
      <c r="B14" s="266"/>
      <c r="C14" s="264"/>
      <c r="D14" s="268"/>
      <c r="E14" s="268"/>
      <c r="F14" s="212"/>
      <c r="G14" s="259"/>
      <c r="H14" s="48"/>
      <c r="I14" s="31" t="s">
        <v>186</v>
      </c>
      <c r="J14" s="47" t="s">
        <v>52</v>
      </c>
      <c r="K14" s="115">
        <f>100*(6.13+0.13+0.27+0.22+0.4+0.04)</f>
        <v>719</v>
      </c>
      <c r="L14" s="41">
        <f>945.12+7337.61+2105.53+20.04+155.61+44.3+41.63+91.99+3.2+33.92+74.95+3.2+61.67+136.28+6.41+6.16+13.63+0.45+8.54+27.87+163.54+6.86+154.04+23.47+66.08+6.24+13.68+23.47+56.16+6.24+23.63+40.55+97.01+10.79+3.19+6.79+12.16+0.57+5.69+1.77+5.72+1.77+9.9+2.71+1.14+0.34</f>
        <v>11861.620000000004</v>
      </c>
      <c r="M14" s="25">
        <f t="shared" si="2"/>
        <v>19098.033138992017</v>
      </c>
      <c r="N14" s="95">
        <f t="shared" ref="N14" si="3">ROUND(M14/1.2,2)</f>
        <v>15915.03</v>
      </c>
      <c r="O14" s="276"/>
      <c r="P14" s="278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/>
      <c r="CA14" s="40"/>
      <c r="CB14" s="40"/>
      <c r="CC14" s="40"/>
      <c r="CD14" s="40"/>
      <c r="CE14" s="40"/>
      <c r="CF14" s="40"/>
      <c r="CG14" s="40"/>
      <c r="CH14" s="40"/>
      <c r="CI14" s="40"/>
      <c r="CJ14" s="40"/>
      <c r="CK14" s="40"/>
      <c r="CL14" s="40"/>
      <c r="CM14" s="40"/>
      <c r="CN14" s="40"/>
      <c r="CO14" s="40"/>
      <c r="CP14" s="40"/>
      <c r="CQ14" s="40"/>
      <c r="CR14" s="40"/>
      <c r="CS14" s="40"/>
      <c r="CT14" s="40"/>
      <c r="CU14" s="40"/>
      <c r="CV14" s="40"/>
      <c r="CW14" s="40"/>
      <c r="CX14" s="40"/>
      <c r="CY14" s="40"/>
      <c r="CZ14" s="40"/>
      <c r="DA14" s="40"/>
      <c r="DB14" s="40"/>
      <c r="DC14" s="40"/>
      <c r="DD14" s="40"/>
      <c r="DE14" s="40"/>
      <c r="DF14" s="40"/>
      <c r="DG14" s="40"/>
      <c r="DH14" s="40"/>
      <c r="DI14" s="40"/>
      <c r="DJ14" s="40"/>
      <c r="DK14" s="40"/>
      <c r="DL14" s="40"/>
      <c r="DM14" s="40"/>
      <c r="DN14" s="40"/>
      <c r="DO14" s="40"/>
      <c r="DP14" s="40"/>
      <c r="DQ14" s="40"/>
      <c r="DR14" s="40"/>
      <c r="DS14" s="40"/>
      <c r="DT14" s="40"/>
      <c r="DU14" s="40"/>
      <c r="DV14" s="40"/>
      <c r="DW14" s="40"/>
      <c r="DX14" s="40"/>
      <c r="DY14" s="40"/>
      <c r="DZ14" s="40"/>
      <c r="EA14" s="40"/>
      <c r="EB14" s="40"/>
      <c r="EC14" s="40"/>
      <c r="ED14" s="40"/>
      <c r="EE14" s="40"/>
      <c r="EF14" s="40"/>
      <c r="EG14" s="40"/>
      <c r="EH14" s="40"/>
      <c r="EI14" s="40"/>
      <c r="EJ14" s="40"/>
      <c r="EK14" s="40"/>
      <c r="EL14" s="40"/>
      <c r="EM14" s="40"/>
      <c r="EN14" s="40"/>
      <c r="EO14" s="40"/>
      <c r="EP14" s="40"/>
      <c r="EQ14" s="40"/>
      <c r="ER14" s="40"/>
      <c r="ES14" s="40"/>
      <c r="ET14" s="40"/>
      <c r="EU14" s="40"/>
      <c r="EV14" s="40"/>
      <c r="EW14" s="40"/>
      <c r="EX14" s="40"/>
      <c r="EY14" s="40"/>
      <c r="EZ14" s="40"/>
      <c r="FA14" s="40"/>
      <c r="FB14" s="40"/>
      <c r="FC14" s="40"/>
      <c r="FD14" s="40"/>
    </row>
    <row r="15" spans="1:160" ht="22.5" customHeight="1" x14ac:dyDescent="0.25">
      <c r="B15" s="246" t="s">
        <v>17</v>
      </c>
      <c r="C15" s="215" t="s">
        <v>7</v>
      </c>
      <c r="D15" s="239" t="s">
        <v>59</v>
      </c>
      <c r="E15" s="239" t="s">
        <v>74</v>
      </c>
      <c r="F15" s="252">
        <v>2</v>
      </c>
      <c r="G15" s="269" t="s">
        <v>18</v>
      </c>
      <c r="H15" s="222" t="s">
        <v>11</v>
      </c>
      <c r="I15" s="223"/>
      <c r="J15" s="223"/>
      <c r="K15" s="224"/>
      <c r="L15" s="36">
        <f>L19+L28+L16</f>
        <v>8978.2800000000007</v>
      </c>
      <c r="M15" s="36">
        <f>M19+M28+M16</f>
        <v>22599.16</v>
      </c>
      <c r="N15" s="93">
        <f>N19+N28+N16</f>
        <v>18832.650000000001</v>
      </c>
      <c r="O15" s="77">
        <f>O19</f>
        <v>1926.5800950000003</v>
      </c>
      <c r="P15" s="78">
        <f>P19</f>
        <v>16906.069905</v>
      </c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40"/>
      <c r="CH15" s="40"/>
      <c r="CI15" s="40"/>
      <c r="CJ15" s="40"/>
      <c r="CK15" s="40"/>
      <c r="CL15" s="40"/>
      <c r="CM15" s="40"/>
      <c r="CN15" s="40"/>
      <c r="CO15" s="40"/>
      <c r="CP15" s="40"/>
      <c r="CQ15" s="40"/>
      <c r="CR15" s="40"/>
      <c r="CS15" s="40"/>
      <c r="CT15" s="40"/>
      <c r="CU15" s="40"/>
      <c r="CV15" s="40"/>
      <c r="CW15" s="40"/>
      <c r="CX15" s="40"/>
      <c r="CY15" s="40"/>
      <c r="CZ15" s="40"/>
      <c r="DA15" s="40"/>
      <c r="DB15" s="40"/>
      <c r="DC15" s="40"/>
      <c r="DD15" s="40"/>
      <c r="DE15" s="40"/>
      <c r="DF15" s="40"/>
      <c r="DG15" s="40"/>
      <c r="DH15" s="40"/>
      <c r="DI15" s="40"/>
      <c r="DJ15" s="40"/>
      <c r="DK15" s="40"/>
      <c r="DL15" s="40"/>
      <c r="DM15" s="40"/>
      <c r="DN15" s="40"/>
      <c r="DO15" s="40"/>
      <c r="DP15" s="40"/>
      <c r="DQ15" s="40"/>
      <c r="DR15" s="40"/>
      <c r="DS15" s="40"/>
      <c r="DT15" s="40"/>
      <c r="DU15" s="40"/>
      <c r="DV15" s="40"/>
      <c r="DW15" s="40"/>
      <c r="DX15" s="40"/>
      <c r="DY15" s="40"/>
      <c r="DZ15" s="40"/>
      <c r="EA15" s="40"/>
      <c r="EB15" s="40"/>
      <c r="EC15" s="40"/>
      <c r="ED15" s="40"/>
      <c r="EE15" s="40"/>
      <c r="EF15" s="40"/>
      <c r="EG15" s="40"/>
      <c r="EH15" s="40"/>
      <c r="EI15" s="40"/>
      <c r="EJ15" s="40"/>
      <c r="EK15" s="40"/>
      <c r="EL15" s="40"/>
      <c r="EM15" s="40"/>
      <c r="EN15" s="40"/>
      <c r="EO15" s="40"/>
      <c r="EP15" s="40"/>
      <c r="EQ15" s="40"/>
      <c r="ER15" s="40"/>
      <c r="ES15" s="40"/>
      <c r="ET15" s="40"/>
      <c r="EU15" s="40"/>
      <c r="EV15" s="40"/>
      <c r="EW15" s="40"/>
      <c r="EX15" s="40"/>
      <c r="EY15" s="40"/>
      <c r="EZ15" s="40"/>
      <c r="FA15" s="40"/>
      <c r="FB15" s="40"/>
      <c r="FC15" s="40"/>
      <c r="FD15" s="40"/>
    </row>
    <row r="16" spans="1:160" ht="22.5" customHeight="1" x14ac:dyDescent="0.25">
      <c r="B16" s="247"/>
      <c r="C16" s="216"/>
      <c r="D16" s="240"/>
      <c r="E16" s="240"/>
      <c r="F16" s="205"/>
      <c r="G16" s="210"/>
      <c r="H16" s="220" t="s">
        <v>196</v>
      </c>
      <c r="I16" s="221"/>
      <c r="J16" s="153"/>
      <c r="K16" s="153"/>
      <c r="L16" s="42">
        <f>L17+L18</f>
        <v>3807.44</v>
      </c>
      <c r="M16" s="158">
        <v>12664.91</v>
      </c>
      <c r="N16" s="128">
        <f>N17+N18</f>
        <v>10554.09</v>
      </c>
      <c r="O16" s="152"/>
      <c r="P16" s="151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O16" s="40"/>
      <c r="BP16" s="40"/>
      <c r="BQ16" s="40"/>
      <c r="BR16" s="40"/>
      <c r="BS16" s="40"/>
      <c r="BT16" s="40"/>
      <c r="BU16" s="40"/>
      <c r="BV16" s="40"/>
      <c r="BW16" s="40"/>
      <c r="BX16" s="40"/>
      <c r="BY16" s="40"/>
      <c r="BZ16" s="40"/>
      <c r="CA16" s="40"/>
      <c r="CB16" s="40"/>
      <c r="CC16" s="40"/>
      <c r="CD16" s="40"/>
      <c r="CE16" s="40"/>
      <c r="CF16" s="40"/>
      <c r="CG16" s="40"/>
      <c r="CH16" s="40"/>
      <c r="CI16" s="40"/>
      <c r="CJ16" s="40"/>
      <c r="CK16" s="40"/>
      <c r="CL16" s="40"/>
      <c r="CM16" s="40"/>
      <c r="CN16" s="40"/>
      <c r="CO16" s="40"/>
      <c r="CP16" s="40"/>
      <c r="CQ16" s="40"/>
      <c r="CR16" s="40"/>
      <c r="CS16" s="40"/>
      <c r="CT16" s="40"/>
      <c r="CU16" s="40"/>
      <c r="CV16" s="40"/>
      <c r="CW16" s="40"/>
      <c r="CX16" s="40"/>
      <c r="CY16" s="40"/>
      <c r="CZ16" s="40"/>
      <c r="DA16" s="40"/>
      <c r="DB16" s="40"/>
      <c r="DC16" s="40"/>
      <c r="DD16" s="40"/>
      <c r="DE16" s="40"/>
      <c r="DF16" s="40"/>
      <c r="DG16" s="40"/>
      <c r="DH16" s="40"/>
      <c r="DI16" s="40"/>
      <c r="DJ16" s="40"/>
      <c r="DK16" s="40"/>
      <c r="DL16" s="40"/>
      <c r="DM16" s="40"/>
      <c r="DN16" s="40"/>
      <c r="DO16" s="40"/>
      <c r="DP16" s="40"/>
      <c r="DQ16" s="40"/>
      <c r="DR16" s="40"/>
      <c r="DS16" s="40"/>
      <c r="DT16" s="40"/>
      <c r="DU16" s="40"/>
      <c r="DV16" s="40"/>
      <c r="DW16" s="40"/>
      <c r="DX16" s="40"/>
      <c r="DY16" s="40"/>
      <c r="DZ16" s="40"/>
      <c r="EA16" s="40"/>
      <c r="EB16" s="40"/>
      <c r="EC16" s="40"/>
      <c r="ED16" s="40"/>
      <c r="EE16" s="40"/>
      <c r="EF16" s="40"/>
      <c r="EG16" s="40"/>
      <c r="EH16" s="40"/>
      <c r="EI16" s="40"/>
      <c r="EJ16" s="40"/>
      <c r="EK16" s="40"/>
      <c r="EL16" s="40"/>
      <c r="EM16" s="40"/>
      <c r="EN16" s="40"/>
      <c r="EO16" s="40"/>
      <c r="EP16" s="40"/>
      <c r="EQ16" s="40"/>
      <c r="ER16" s="40"/>
      <c r="ES16" s="40"/>
      <c r="ET16" s="40"/>
      <c r="EU16" s="40"/>
      <c r="EV16" s="40"/>
      <c r="EW16" s="40"/>
      <c r="EX16" s="40"/>
      <c r="EY16" s="40"/>
      <c r="EZ16" s="40"/>
      <c r="FA16" s="40"/>
      <c r="FB16" s="40"/>
      <c r="FC16" s="40"/>
      <c r="FD16" s="40"/>
    </row>
    <row r="17" spans="2:160" ht="22.5" customHeight="1" x14ac:dyDescent="0.25">
      <c r="B17" s="247"/>
      <c r="C17" s="216"/>
      <c r="D17" s="240"/>
      <c r="E17" s="240"/>
      <c r="F17" s="205"/>
      <c r="G17" s="210"/>
      <c r="H17" s="153"/>
      <c r="I17" s="108" t="s">
        <v>184</v>
      </c>
      <c r="J17" s="47" t="s">
        <v>52</v>
      </c>
      <c r="K17" s="115">
        <v>3516</v>
      </c>
      <c r="L17" s="25">
        <v>3213.63</v>
      </c>
      <c r="M17" s="41">
        <f>L17*$M$16/$L$16</f>
        <v>10689.685122628329</v>
      </c>
      <c r="N17" s="95">
        <f>ROUND(M17/1.2,2)</f>
        <v>8908.07</v>
      </c>
      <c r="O17" s="152"/>
      <c r="P17" s="151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0"/>
      <c r="BM17" s="40"/>
      <c r="BN17" s="40"/>
      <c r="BO17" s="40"/>
      <c r="BP17" s="40"/>
      <c r="BQ17" s="40"/>
      <c r="BR17" s="40"/>
      <c r="BS17" s="40"/>
      <c r="BT17" s="40"/>
      <c r="BU17" s="40"/>
      <c r="BV17" s="40"/>
      <c r="BW17" s="40"/>
      <c r="BX17" s="40"/>
      <c r="BY17" s="40"/>
      <c r="BZ17" s="40"/>
      <c r="CA17" s="40"/>
      <c r="CB17" s="40"/>
      <c r="CC17" s="40"/>
      <c r="CD17" s="40"/>
      <c r="CE17" s="40"/>
      <c r="CF17" s="40"/>
      <c r="CG17" s="40"/>
      <c r="CH17" s="40"/>
      <c r="CI17" s="40"/>
      <c r="CJ17" s="40"/>
      <c r="CK17" s="40"/>
      <c r="CL17" s="40"/>
      <c r="CM17" s="40"/>
      <c r="CN17" s="40"/>
      <c r="CO17" s="40"/>
      <c r="CP17" s="40"/>
      <c r="CQ17" s="40"/>
      <c r="CR17" s="40"/>
      <c r="CS17" s="40"/>
      <c r="CT17" s="40"/>
      <c r="CU17" s="40"/>
      <c r="CV17" s="40"/>
      <c r="CW17" s="40"/>
      <c r="CX17" s="40"/>
      <c r="CY17" s="40"/>
      <c r="CZ17" s="40"/>
      <c r="DA17" s="40"/>
      <c r="DB17" s="40"/>
      <c r="DC17" s="40"/>
      <c r="DD17" s="40"/>
      <c r="DE17" s="40"/>
      <c r="DF17" s="40"/>
      <c r="DG17" s="40"/>
      <c r="DH17" s="40"/>
      <c r="DI17" s="40"/>
      <c r="DJ17" s="40"/>
      <c r="DK17" s="40"/>
      <c r="DL17" s="40"/>
      <c r="DM17" s="40"/>
      <c r="DN17" s="40"/>
      <c r="DO17" s="40"/>
      <c r="DP17" s="40"/>
      <c r="DQ17" s="40"/>
      <c r="DR17" s="40"/>
      <c r="DS17" s="40"/>
      <c r="DT17" s="40"/>
      <c r="DU17" s="40"/>
      <c r="DV17" s="40"/>
      <c r="DW17" s="40"/>
      <c r="DX17" s="40"/>
      <c r="DY17" s="40"/>
      <c r="DZ17" s="40"/>
      <c r="EA17" s="40"/>
      <c r="EB17" s="40"/>
      <c r="EC17" s="40"/>
      <c r="ED17" s="40"/>
      <c r="EE17" s="40"/>
      <c r="EF17" s="40"/>
      <c r="EG17" s="40"/>
      <c r="EH17" s="40"/>
      <c r="EI17" s="40"/>
      <c r="EJ17" s="40"/>
      <c r="EK17" s="40"/>
      <c r="EL17" s="40"/>
      <c r="EM17" s="40"/>
      <c r="EN17" s="40"/>
      <c r="EO17" s="40"/>
      <c r="EP17" s="40"/>
      <c r="EQ17" s="40"/>
      <c r="ER17" s="40"/>
      <c r="ES17" s="40"/>
      <c r="ET17" s="40"/>
      <c r="EU17" s="40"/>
      <c r="EV17" s="40"/>
      <c r="EW17" s="40"/>
      <c r="EX17" s="40"/>
      <c r="EY17" s="40"/>
      <c r="EZ17" s="40"/>
      <c r="FA17" s="40"/>
      <c r="FB17" s="40"/>
      <c r="FC17" s="40"/>
      <c r="FD17" s="40"/>
    </row>
    <row r="18" spans="2:160" ht="22.5" customHeight="1" x14ac:dyDescent="0.25">
      <c r="B18" s="247"/>
      <c r="C18" s="216"/>
      <c r="D18" s="240"/>
      <c r="E18" s="240"/>
      <c r="F18" s="205"/>
      <c r="G18" s="210"/>
      <c r="H18" s="153"/>
      <c r="I18" s="108" t="s">
        <v>182</v>
      </c>
      <c r="J18" s="47" t="s">
        <v>52</v>
      </c>
      <c r="K18" s="115">
        <v>551</v>
      </c>
      <c r="L18" s="25">
        <v>593.80999999999995</v>
      </c>
      <c r="M18" s="41">
        <f>L18*$M$16/$L$16</f>
        <v>1975.2248773716722</v>
      </c>
      <c r="N18" s="95">
        <f t="shared" ref="N18:N29" si="4">ROUND(M18/1.2,2)</f>
        <v>1646.02</v>
      </c>
      <c r="O18" s="152"/>
      <c r="P18" s="151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  <c r="BP18" s="40"/>
      <c r="BQ18" s="40"/>
      <c r="BR18" s="40"/>
      <c r="BS18" s="40"/>
      <c r="BT18" s="40"/>
      <c r="BU18" s="40"/>
      <c r="BV18" s="40"/>
      <c r="BW18" s="40"/>
      <c r="BX18" s="40"/>
      <c r="BY18" s="40"/>
      <c r="BZ18" s="40"/>
      <c r="CA18" s="40"/>
      <c r="CB18" s="40"/>
      <c r="CC18" s="40"/>
      <c r="CD18" s="40"/>
      <c r="CE18" s="40"/>
      <c r="CF18" s="40"/>
      <c r="CG18" s="40"/>
      <c r="CH18" s="40"/>
      <c r="CI18" s="40"/>
      <c r="CJ18" s="40"/>
      <c r="CK18" s="40"/>
      <c r="CL18" s="40"/>
      <c r="CM18" s="40"/>
      <c r="CN18" s="40"/>
      <c r="CO18" s="40"/>
      <c r="CP18" s="40"/>
      <c r="CQ18" s="40"/>
      <c r="CR18" s="40"/>
      <c r="CS18" s="40"/>
      <c r="CT18" s="40"/>
      <c r="CU18" s="40"/>
      <c r="CV18" s="40"/>
      <c r="CW18" s="40"/>
      <c r="CX18" s="40"/>
      <c r="CY18" s="40"/>
      <c r="CZ18" s="40"/>
      <c r="DA18" s="40"/>
      <c r="DB18" s="40"/>
      <c r="DC18" s="40"/>
      <c r="DD18" s="40"/>
      <c r="DE18" s="40"/>
      <c r="DF18" s="40"/>
      <c r="DG18" s="40"/>
      <c r="DH18" s="40"/>
      <c r="DI18" s="40"/>
      <c r="DJ18" s="40"/>
      <c r="DK18" s="40"/>
      <c r="DL18" s="40"/>
      <c r="DM18" s="40"/>
      <c r="DN18" s="40"/>
      <c r="DO18" s="40"/>
      <c r="DP18" s="40"/>
      <c r="DQ18" s="40"/>
      <c r="DR18" s="40"/>
      <c r="DS18" s="40"/>
      <c r="DT18" s="40"/>
      <c r="DU18" s="40"/>
      <c r="DV18" s="40"/>
      <c r="DW18" s="40"/>
      <c r="DX18" s="40"/>
      <c r="DY18" s="40"/>
      <c r="DZ18" s="40"/>
      <c r="EA18" s="40"/>
      <c r="EB18" s="40"/>
      <c r="EC18" s="40"/>
      <c r="ED18" s="40"/>
      <c r="EE18" s="40"/>
      <c r="EF18" s="40"/>
      <c r="EG18" s="40"/>
      <c r="EH18" s="40"/>
      <c r="EI18" s="40"/>
      <c r="EJ18" s="40"/>
      <c r="EK18" s="40"/>
      <c r="EL18" s="40"/>
      <c r="EM18" s="40"/>
      <c r="EN18" s="40"/>
      <c r="EO18" s="40"/>
      <c r="EP18" s="40"/>
      <c r="EQ18" s="40"/>
      <c r="ER18" s="40"/>
      <c r="ES18" s="40"/>
      <c r="ET18" s="40"/>
      <c r="EU18" s="40"/>
      <c r="EV18" s="40"/>
      <c r="EW18" s="40"/>
      <c r="EX18" s="40"/>
      <c r="EY18" s="40"/>
      <c r="EZ18" s="40"/>
      <c r="FA18" s="40"/>
      <c r="FB18" s="40"/>
      <c r="FC18" s="40"/>
      <c r="FD18" s="40"/>
    </row>
    <row r="19" spans="2:160" ht="25.5" customHeight="1" x14ac:dyDescent="0.25">
      <c r="B19" s="247"/>
      <c r="C19" s="216"/>
      <c r="D19" s="240"/>
      <c r="E19" s="240"/>
      <c r="F19" s="205"/>
      <c r="G19" s="210"/>
      <c r="H19" s="249" t="s">
        <v>36</v>
      </c>
      <c r="I19" s="250"/>
      <c r="J19" s="13"/>
      <c r="K19" s="116"/>
      <c r="L19" s="42">
        <f>SUM(L20:L27)</f>
        <v>2144.4299999999998</v>
      </c>
      <c r="M19" s="158">
        <v>5080.2</v>
      </c>
      <c r="N19" s="128">
        <f>SUM(N20:N27)</f>
        <v>4233.5199999999995</v>
      </c>
      <c r="O19" s="270">
        <f>N15*O5</f>
        <v>1926.5800950000003</v>
      </c>
      <c r="P19" s="273">
        <f>N15-O15</f>
        <v>16906.069905</v>
      </c>
      <c r="Q19" s="40"/>
    </row>
    <row r="20" spans="2:160" ht="25.5" customHeight="1" x14ac:dyDescent="0.25">
      <c r="B20" s="247"/>
      <c r="C20" s="216"/>
      <c r="D20" s="240"/>
      <c r="E20" s="240"/>
      <c r="F20" s="205"/>
      <c r="G20" s="210"/>
      <c r="H20" s="107"/>
      <c r="I20" s="108" t="s">
        <v>108</v>
      </c>
      <c r="J20" s="47" t="s">
        <v>49</v>
      </c>
      <c r="K20" s="115">
        <v>9</v>
      </c>
      <c r="L20" s="41">
        <v>171.54</v>
      </c>
      <c r="M20" s="41">
        <f>L20*$M$19/$L$19</f>
        <v>406.38188609560581</v>
      </c>
      <c r="N20" s="95">
        <f t="shared" si="4"/>
        <v>338.65</v>
      </c>
      <c r="O20" s="271"/>
      <c r="P20" s="274"/>
      <c r="Q20" s="40"/>
    </row>
    <row r="21" spans="2:160" ht="25.5" customHeight="1" x14ac:dyDescent="0.25">
      <c r="B21" s="247"/>
      <c r="C21" s="216"/>
      <c r="D21" s="240"/>
      <c r="E21" s="240"/>
      <c r="F21" s="205"/>
      <c r="G21" s="210"/>
      <c r="H21" s="107"/>
      <c r="I21" s="108" t="s">
        <v>109</v>
      </c>
      <c r="J21" s="47" t="s">
        <v>49</v>
      </c>
      <c r="K21" s="115">
        <v>28</v>
      </c>
      <c r="L21" s="41">
        <v>57.76</v>
      </c>
      <c r="M21" s="41">
        <f t="shared" ref="M21:M27" si="5">L21*$M$19/$L$19</f>
        <v>136.83466095885618</v>
      </c>
      <c r="N21" s="95">
        <f t="shared" si="4"/>
        <v>114.03</v>
      </c>
      <c r="O21" s="271"/>
      <c r="P21" s="274"/>
      <c r="Q21" s="40"/>
    </row>
    <row r="22" spans="2:160" ht="25.5" customHeight="1" x14ac:dyDescent="0.25">
      <c r="B22" s="247"/>
      <c r="C22" s="216"/>
      <c r="D22" s="240"/>
      <c r="E22" s="240"/>
      <c r="F22" s="205"/>
      <c r="G22" s="210"/>
      <c r="H22" s="107"/>
      <c r="I22" s="108" t="s">
        <v>188</v>
      </c>
      <c r="J22" s="47" t="s">
        <v>49</v>
      </c>
      <c r="K22" s="115">
        <v>79</v>
      </c>
      <c r="L22" s="41">
        <v>1309.82</v>
      </c>
      <c r="M22" s="41">
        <f t="shared" si="5"/>
        <v>3102.9912676095746</v>
      </c>
      <c r="N22" s="95">
        <f t="shared" si="4"/>
        <v>2585.83</v>
      </c>
      <c r="O22" s="271"/>
      <c r="P22" s="274"/>
      <c r="Q22" s="40"/>
    </row>
    <row r="23" spans="2:160" ht="25.5" customHeight="1" x14ac:dyDescent="0.25">
      <c r="B23" s="247"/>
      <c r="C23" s="216"/>
      <c r="D23" s="240"/>
      <c r="E23" s="240"/>
      <c r="F23" s="205"/>
      <c r="G23" s="210"/>
      <c r="H23" s="107"/>
      <c r="I23" s="108" t="s">
        <v>189</v>
      </c>
      <c r="J23" s="47" t="s">
        <v>49</v>
      </c>
      <c r="K23" s="115">
        <v>8</v>
      </c>
      <c r="L23" s="41">
        <v>159.69999999999999</v>
      </c>
      <c r="M23" s="41">
        <f t="shared" si="5"/>
        <v>378.33267581595112</v>
      </c>
      <c r="N23" s="95">
        <f t="shared" si="4"/>
        <v>315.27999999999997</v>
      </c>
      <c r="O23" s="271"/>
      <c r="P23" s="274"/>
      <c r="Q23" s="40"/>
    </row>
    <row r="24" spans="2:160" ht="25.5" customHeight="1" x14ac:dyDescent="0.25">
      <c r="B24" s="247"/>
      <c r="C24" s="216"/>
      <c r="D24" s="240"/>
      <c r="E24" s="240"/>
      <c r="F24" s="205"/>
      <c r="G24" s="210"/>
      <c r="H24" s="107"/>
      <c r="I24" s="108" t="s">
        <v>110</v>
      </c>
      <c r="J24" s="47" t="s">
        <v>49</v>
      </c>
      <c r="K24" s="115">
        <v>28</v>
      </c>
      <c r="L24" s="41">
        <v>247.52</v>
      </c>
      <c r="M24" s="41">
        <f t="shared" si="5"/>
        <v>586.38011219764701</v>
      </c>
      <c r="N24" s="95">
        <f t="shared" si="4"/>
        <v>488.65</v>
      </c>
      <c r="O24" s="271"/>
      <c r="P24" s="274"/>
      <c r="Q24" s="40"/>
    </row>
    <row r="25" spans="2:160" ht="25.5" customHeight="1" x14ac:dyDescent="0.25">
      <c r="B25" s="247"/>
      <c r="C25" s="216"/>
      <c r="D25" s="240"/>
      <c r="E25" s="240"/>
      <c r="F25" s="205"/>
      <c r="G25" s="210"/>
      <c r="H25" s="107"/>
      <c r="I25" s="108" t="s">
        <v>111</v>
      </c>
      <c r="J25" s="47" t="s">
        <v>49</v>
      </c>
      <c r="K25" s="115">
        <v>5</v>
      </c>
      <c r="L25" s="41">
        <v>38.15</v>
      </c>
      <c r="M25" s="41">
        <f t="shared" si="5"/>
        <v>90.378156433178049</v>
      </c>
      <c r="N25" s="95">
        <f t="shared" si="4"/>
        <v>75.319999999999993</v>
      </c>
      <c r="O25" s="271"/>
      <c r="P25" s="274"/>
      <c r="Q25" s="40"/>
    </row>
    <row r="26" spans="2:160" ht="25.5" customHeight="1" x14ac:dyDescent="0.25">
      <c r="B26" s="247"/>
      <c r="C26" s="216"/>
      <c r="D26" s="240"/>
      <c r="E26" s="240"/>
      <c r="F26" s="205"/>
      <c r="G26" s="210"/>
      <c r="H26" s="30"/>
      <c r="I26" s="31" t="s">
        <v>112</v>
      </c>
      <c r="J26" s="47" t="s">
        <v>49</v>
      </c>
      <c r="K26" s="115">
        <v>2</v>
      </c>
      <c r="L26" s="41">
        <v>121.05</v>
      </c>
      <c r="M26" s="41">
        <f t="shared" si="5"/>
        <v>286.77000881353086</v>
      </c>
      <c r="N26" s="95">
        <f t="shared" si="4"/>
        <v>238.98</v>
      </c>
      <c r="O26" s="271"/>
      <c r="P26" s="274"/>
      <c r="Q26" s="40"/>
    </row>
    <row r="27" spans="2:160" ht="25.5" customHeight="1" x14ac:dyDescent="0.25">
      <c r="B27" s="247"/>
      <c r="C27" s="216"/>
      <c r="D27" s="240"/>
      <c r="E27" s="240"/>
      <c r="F27" s="205"/>
      <c r="G27" s="210"/>
      <c r="H27" s="51"/>
      <c r="I27" s="52" t="s">
        <v>113</v>
      </c>
      <c r="J27" s="12" t="s">
        <v>49</v>
      </c>
      <c r="K27" s="115">
        <v>4</v>
      </c>
      <c r="L27" s="43">
        <v>38.89</v>
      </c>
      <c r="M27" s="41">
        <f t="shared" si="5"/>
        <v>92.13123207565647</v>
      </c>
      <c r="N27" s="95">
        <f t="shared" si="4"/>
        <v>76.78</v>
      </c>
      <c r="O27" s="272"/>
      <c r="P27" s="274"/>
      <c r="Q27" s="40"/>
    </row>
    <row r="28" spans="2:160" ht="25.5" customHeight="1" x14ac:dyDescent="0.25">
      <c r="B28" s="247"/>
      <c r="C28" s="216"/>
      <c r="D28" s="240"/>
      <c r="E28" s="240"/>
      <c r="F28" s="205"/>
      <c r="G28" s="210"/>
      <c r="H28" s="249" t="s">
        <v>40</v>
      </c>
      <c r="I28" s="250"/>
      <c r="J28" s="12"/>
      <c r="K28" s="115"/>
      <c r="L28" s="111">
        <f>SUM(L29:L30)</f>
        <v>3026.41</v>
      </c>
      <c r="M28" s="159">
        <v>4854.05</v>
      </c>
      <c r="N28" s="94">
        <f>ROUND(M28/1.2,2)</f>
        <v>4045.04</v>
      </c>
      <c r="O28" s="272"/>
      <c r="P28" s="274"/>
      <c r="Q28" s="40"/>
    </row>
    <row r="29" spans="2:160" ht="25.5" customHeight="1" x14ac:dyDescent="0.25">
      <c r="B29" s="247"/>
      <c r="C29" s="216"/>
      <c r="D29" s="240"/>
      <c r="E29" s="240"/>
      <c r="F29" s="205"/>
      <c r="G29" s="210"/>
      <c r="H29" s="90"/>
      <c r="I29" s="108" t="s">
        <v>190</v>
      </c>
      <c r="J29" s="47" t="s">
        <v>49</v>
      </c>
      <c r="K29" s="115">
        <v>11</v>
      </c>
      <c r="L29" s="41">
        <f>478.98+205.28+68.43+16.18+13.93+50.78+4.63+5.99+21.76+61.07+26.16+21.81+6.72+3.28+29.97+2.88+1.14+12.84+1.28+0.5+5.7</f>
        <v>1039.31</v>
      </c>
      <c r="M29" s="41">
        <f>L29*$M$28/$L$28</f>
        <v>1666.946218622064</v>
      </c>
      <c r="N29" s="95">
        <f t="shared" si="4"/>
        <v>1389.12</v>
      </c>
      <c r="O29" s="271"/>
      <c r="P29" s="274"/>
      <c r="Q29" s="40"/>
    </row>
    <row r="30" spans="2:160" ht="25.5" customHeight="1" thickBot="1" x14ac:dyDescent="0.3">
      <c r="B30" s="247"/>
      <c r="C30" s="217"/>
      <c r="D30" s="241"/>
      <c r="E30" s="241"/>
      <c r="F30" s="206"/>
      <c r="G30" s="211"/>
      <c r="H30" s="134"/>
      <c r="I30" s="135" t="s">
        <v>160</v>
      </c>
      <c r="J30" s="131" t="s">
        <v>49</v>
      </c>
      <c r="K30" s="121">
        <f>7+3</f>
        <v>10</v>
      </c>
      <c r="L30" s="132">
        <f>144.85+1238.65+2.04+69.84+530.85+0.87</f>
        <v>1987.1</v>
      </c>
      <c r="M30" s="132">
        <f t="shared" ref="M30" si="6">L30*$M$28/$L$28</f>
        <v>3187.1037813779367</v>
      </c>
      <c r="N30" s="133">
        <f t="shared" ref="N30" si="7">ROUND(M30/1.2,2)</f>
        <v>2655.92</v>
      </c>
      <c r="O30" s="271"/>
      <c r="P30" s="274"/>
      <c r="Q30" s="40"/>
    </row>
    <row r="31" spans="2:160" ht="26.25" customHeight="1" x14ac:dyDescent="0.25">
      <c r="B31" s="215" t="s">
        <v>19</v>
      </c>
      <c r="C31" s="231" t="s">
        <v>7</v>
      </c>
      <c r="D31" s="239" t="s">
        <v>60</v>
      </c>
      <c r="E31" s="239" t="s">
        <v>75</v>
      </c>
      <c r="F31" s="203">
        <v>3</v>
      </c>
      <c r="G31" s="209" t="s">
        <v>20</v>
      </c>
      <c r="H31" s="222" t="s">
        <v>11</v>
      </c>
      <c r="I31" s="223"/>
      <c r="J31" s="223"/>
      <c r="K31" s="224"/>
      <c r="L31" s="36">
        <f>L32</f>
        <v>1509.85</v>
      </c>
      <c r="M31" s="36">
        <f>M32</f>
        <v>3552</v>
      </c>
      <c r="N31" s="93">
        <f>N32</f>
        <v>2960</v>
      </c>
      <c r="O31" s="127">
        <f>O32</f>
        <v>302.80799999999999</v>
      </c>
      <c r="P31" s="78">
        <f>P32</f>
        <v>2657.192</v>
      </c>
      <c r="Q31" s="40"/>
    </row>
    <row r="32" spans="2:160" ht="25.5" customHeight="1" x14ac:dyDescent="0.25">
      <c r="B32" s="216"/>
      <c r="C32" s="232"/>
      <c r="D32" s="240"/>
      <c r="E32" s="240"/>
      <c r="F32" s="204"/>
      <c r="G32" s="226"/>
      <c r="H32" s="237" t="s">
        <v>31</v>
      </c>
      <c r="I32" s="238"/>
      <c r="J32" s="13"/>
      <c r="K32" s="117"/>
      <c r="L32" s="28">
        <f>SUM(L33:L38)</f>
        <v>1509.85</v>
      </c>
      <c r="M32" s="157">
        <v>3552</v>
      </c>
      <c r="N32" s="98">
        <f>ROUND(M32/1.2,2)</f>
        <v>2960</v>
      </c>
      <c r="O32" s="279">
        <f>N31*O5</f>
        <v>302.80799999999999</v>
      </c>
      <c r="P32" s="273">
        <f>N31-O31</f>
        <v>2657.192</v>
      </c>
      <c r="Q32" s="40"/>
    </row>
    <row r="33" spans="2:17" ht="25.5" customHeight="1" x14ac:dyDescent="0.25">
      <c r="B33" s="216"/>
      <c r="C33" s="232"/>
      <c r="D33" s="240"/>
      <c r="E33" s="240"/>
      <c r="F33" s="205"/>
      <c r="G33" s="210"/>
      <c r="H33" s="86"/>
      <c r="I33" s="87" t="s">
        <v>132</v>
      </c>
      <c r="J33" s="47" t="s">
        <v>49</v>
      </c>
      <c r="K33" s="115">
        <v>5</v>
      </c>
      <c r="L33" s="41">
        <f>126.05</f>
        <v>126.05</v>
      </c>
      <c r="M33" s="41">
        <f>L33*$M$32/$L$32</f>
        <v>296.53912640328508</v>
      </c>
      <c r="N33" s="136">
        <f t="shared" ref="N33:N38" si="8">ROUND(M33/1.2,2)</f>
        <v>247.12</v>
      </c>
      <c r="O33" s="271"/>
      <c r="P33" s="274"/>
      <c r="Q33" s="40"/>
    </row>
    <row r="34" spans="2:17" ht="25.5" customHeight="1" x14ac:dyDescent="0.25">
      <c r="B34" s="216"/>
      <c r="C34" s="232"/>
      <c r="D34" s="240"/>
      <c r="E34" s="240"/>
      <c r="F34" s="205"/>
      <c r="G34" s="210"/>
      <c r="H34" s="86"/>
      <c r="I34" s="87" t="s">
        <v>133</v>
      </c>
      <c r="J34" s="47" t="s">
        <v>49</v>
      </c>
      <c r="K34" s="115">
        <v>22</v>
      </c>
      <c r="L34" s="41">
        <v>332.64</v>
      </c>
      <c r="M34" s="41">
        <f t="shared" ref="M34:M38" si="9">L34*$M$32/$L$32</f>
        <v>782.55275689638052</v>
      </c>
      <c r="N34" s="136">
        <f t="shared" si="8"/>
        <v>652.13</v>
      </c>
      <c r="O34" s="271"/>
      <c r="P34" s="274"/>
      <c r="Q34" s="40"/>
    </row>
    <row r="35" spans="2:17" ht="25.5" customHeight="1" x14ac:dyDescent="0.25">
      <c r="B35" s="216"/>
      <c r="C35" s="232"/>
      <c r="D35" s="240"/>
      <c r="E35" s="240"/>
      <c r="F35" s="205"/>
      <c r="G35" s="210"/>
      <c r="H35" s="86"/>
      <c r="I35" s="87" t="s">
        <v>134</v>
      </c>
      <c r="J35" s="47" t="s">
        <v>49</v>
      </c>
      <c r="K35" s="115">
        <v>5</v>
      </c>
      <c r="L35" s="41">
        <f>95.3</f>
        <v>95.3</v>
      </c>
      <c r="M35" s="41">
        <f t="shared" si="9"/>
        <v>224.19816538066695</v>
      </c>
      <c r="N35" s="136">
        <f t="shared" si="8"/>
        <v>186.83</v>
      </c>
      <c r="O35" s="271"/>
      <c r="P35" s="274"/>
      <c r="Q35" s="40"/>
    </row>
    <row r="36" spans="2:17" ht="25.5" customHeight="1" x14ac:dyDescent="0.25">
      <c r="B36" s="216"/>
      <c r="C36" s="232"/>
      <c r="D36" s="240"/>
      <c r="E36" s="240"/>
      <c r="F36" s="205"/>
      <c r="G36" s="210"/>
      <c r="H36" s="86"/>
      <c r="I36" s="87" t="s">
        <v>135</v>
      </c>
      <c r="J36" s="47" t="s">
        <v>49</v>
      </c>
      <c r="K36" s="115">
        <v>2</v>
      </c>
      <c r="L36" s="41">
        <f>19.32</f>
        <v>19.32</v>
      </c>
      <c r="M36" s="41">
        <f t="shared" si="9"/>
        <v>45.451296486405937</v>
      </c>
      <c r="N36" s="136">
        <f t="shared" si="8"/>
        <v>37.880000000000003</v>
      </c>
      <c r="O36" s="271"/>
      <c r="P36" s="274"/>
      <c r="Q36" s="40"/>
    </row>
    <row r="37" spans="2:17" ht="25.5" customHeight="1" x14ac:dyDescent="0.25">
      <c r="B37" s="216"/>
      <c r="C37" s="232"/>
      <c r="D37" s="240"/>
      <c r="E37" s="240"/>
      <c r="F37" s="205"/>
      <c r="G37" s="210"/>
      <c r="H37" s="86"/>
      <c r="I37" s="87" t="s">
        <v>136</v>
      </c>
      <c r="J37" s="47" t="s">
        <v>49</v>
      </c>
      <c r="K37" s="115">
        <v>4</v>
      </c>
      <c r="L37" s="41">
        <v>24.64</v>
      </c>
      <c r="M37" s="41">
        <f t="shared" si="9"/>
        <v>57.966870881213367</v>
      </c>
      <c r="N37" s="136">
        <f t="shared" si="8"/>
        <v>48.31</v>
      </c>
      <c r="O37" s="271"/>
      <c r="P37" s="274"/>
      <c r="Q37" s="40"/>
    </row>
    <row r="38" spans="2:17" ht="25.5" customHeight="1" thickBot="1" x14ac:dyDescent="0.3">
      <c r="B38" s="217"/>
      <c r="C38" s="245"/>
      <c r="D38" s="241"/>
      <c r="E38" s="241"/>
      <c r="F38" s="206"/>
      <c r="G38" s="211"/>
      <c r="H38" s="137"/>
      <c r="I38" s="138" t="s">
        <v>198</v>
      </c>
      <c r="J38" s="131" t="s">
        <v>49</v>
      </c>
      <c r="K38" s="121">
        <v>55</v>
      </c>
      <c r="L38" s="132">
        <v>911.9</v>
      </c>
      <c r="M38" s="132">
        <f t="shared" si="9"/>
        <v>2145.2917839520483</v>
      </c>
      <c r="N38" s="139">
        <f t="shared" si="8"/>
        <v>1787.74</v>
      </c>
      <c r="O38" s="271"/>
      <c r="P38" s="274"/>
      <c r="Q38" s="40"/>
    </row>
    <row r="39" spans="2:17" ht="39.75" customHeight="1" x14ac:dyDescent="0.25">
      <c r="B39" s="215" t="s">
        <v>21</v>
      </c>
      <c r="C39" s="231" t="s">
        <v>7</v>
      </c>
      <c r="D39" s="239" t="s">
        <v>61</v>
      </c>
      <c r="E39" s="239" t="s">
        <v>76</v>
      </c>
      <c r="F39" s="252">
        <v>4</v>
      </c>
      <c r="G39" s="269" t="s">
        <v>199</v>
      </c>
      <c r="H39" s="222" t="s">
        <v>11</v>
      </c>
      <c r="I39" s="223"/>
      <c r="J39" s="223"/>
      <c r="K39" s="224"/>
      <c r="L39" s="36">
        <f>L40+L49</f>
        <v>32147.39</v>
      </c>
      <c r="M39" s="36">
        <f>M40+M49</f>
        <v>38166.03</v>
      </c>
      <c r="N39" s="93">
        <f>N40+N49</f>
        <v>31805.02</v>
      </c>
      <c r="O39" s="77" t="e">
        <f>O40+O49</f>
        <v>#REF!</v>
      </c>
      <c r="P39" s="78" t="e">
        <f>P40+P49</f>
        <v>#REF!</v>
      </c>
      <c r="Q39" s="40"/>
    </row>
    <row r="40" spans="2:17" ht="36.75" customHeight="1" x14ac:dyDescent="0.25">
      <c r="B40" s="216"/>
      <c r="C40" s="232"/>
      <c r="D40" s="240"/>
      <c r="E40" s="240"/>
      <c r="F40" s="205"/>
      <c r="G40" s="210"/>
      <c r="H40" s="237" t="s">
        <v>35</v>
      </c>
      <c r="I40" s="238"/>
      <c r="J40" s="12"/>
      <c r="K40" s="119"/>
      <c r="L40" s="22">
        <f>SUM(L41:L48)</f>
        <v>656.22</v>
      </c>
      <c r="M40" s="158">
        <v>1650.35</v>
      </c>
      <c r="N40" s="98">
        <f>ROUND(M40/1.2,2)</f>
        <v>1375.29</v>
      </c>
      <c r="O40" s="270" t="e">
        <f>(#REF!+N40)*O5</f>
        <v>#REF!</v>
      </c>
      <c r="P40" s="273" t="e">
        <f>N40+#REF!-O39</f>
        <v>#REF!</v>
      </c>
      <c r="Q40" s="40"/>
    </row>
    <row r="41" spans="2:17" ht="25.5" customHeight="1" x14ac:dyDescent="0.25">
      <c r="B41" s="216"/>
      <c r="C41" s="232"/>
      <c r="D41" s="240"/>
      <c r="E41" s="240"/>
      <c r="F41" s="205"/>
      <c r="G41" s="210"/>
      <c r="H41" s="87"/>
      <c r="I41" s="87" t="s">
        <v>114</v>
      </c>
      <c r="J41" s="47" t="s">
        <v>49</v>
      </c>
      <c r="K41" s="115">
        <v>31</v>
      </c>
      <c r="L41" s="41">
        <v>188.48</v>
      </c>
      <c r="M41" s="41">
        <f>L41*$M$40/$L$40</f>
        <v>474.01476334156223</v>
      </c>
      <c r="N41" s="96">
        <f>ROUND(M41/1.2,2)</f>
        <v>395.01</v>
      </c>
      <c r="O41" s="271"/>
      <c r="P41" s="274"/>
      <c r="Q41" s="40"/>
    </row>
    <row r="42" spans="2:17" ht="25.5" customHeight="1" x14ac:dyDescent="0.25">
      <c r="B42" s="216"/>
      <c r="C42" s="232"/>
      <c r="D42" s="240"/>
      <c r="E42" s="240"/>
      <c r="F42" s="205"/>
      <c r="G42" s="210"/>
      <c r="H42" s="87"/>
      <c r="I42" s="87" t="s">
        <v>115</v>
      </c>
      <c r="J42" s="47" t="s">
        <v>49</v>
      </c>
      <c r="K42" s="115">
        <v>1</v>
      </c>
      <c r="L42" s="41">
        <v>1.65</v>
      </c>
      <c r="M42" s="41">
        <f t="shared" ref="M42:M48" si="10">L42*$M$40/$L$40</f>
        <v>4.1496411264514945</v>
      </c>
      <c r="N42" s="96">
        <f t="shared" ref="N42:N48" si="11">ROUND(M42/1.2,2)</f>
        <v>3.46</v>
      </c>
      <c r="O42" s="271"/>
      <c r="P42" s="274"/>
      <c r="Q42" s="40"/>
    </row>
    <row r="43" spans="2:17" ht="25.5" customHeight="1" x14ac:dyDescent="0.25">
      <c r="B43" s="216"/>
      <c r="C43" s="232"/>
      <c r="D43" s="240"/>
      <c r="E43" s="240"/>
      <c r="F43" s="205"/>
      <c r="G43" s="210"/>
      <c r="H43" s="87"/>
      <c r="I43" s="87" t="s">
        <v>206</v>
      </c>
      <c r="J43" s="47" t="s">
        <v>49</v>
      </c>
      <c r="K43" s="115">
        <v>2</v>
      </c>
      <c r="L43" s="41">
        <v>56.22</v>
      </c>
      <c r="M43" s="41">
        <f t="shared" si="10"/>
        <v>141.38959038127456</v>
      </c>
      <c r="N43" s="96">
        <f t="shared" si="11"/>
        <v>117.82</v>
      </c>
      <c r="O43" s="271"/>
      <c r="P43" s="274"/>
      <c r="Q43" s="40"/>
    </row>
    <row r="44" spans="2:17" ht="25.5" customHeight="1" x14ac:dyDescent="0.25">
      <c r="B44" s="216"/>
      <c r="C44" s="232"/>
      <c r="D44" s="240"/>
      <c r="E44" s="240"/>
      <c r="F44" s="205"/>
      <c r="G44" s="210"/>
      <c r="H44" s="87"/>
      <c r="I44" s="87" t="s">
        <v>200</v>
      </c>
      <c r="J44" s="47" t="s">
        <v>49</v>
      </c>
      <c r="K44" s="115">
        <v>9</v>
      </c>
      <c r="L44" s="41">
        <v>101.61</v>
      </c>
      <c r="M44" s="41">
        <f t="shared" si="10"/>
        <v>255.54244536893111</v>
      </c>
      <c r="N44" s="96">
        <f t="shared" si="11"/>
        <v>212.95</v>
      </c>
      <c r="O44" s="271"/>
      <c r="P44" s="274"/>
      <c r="Q44" s="40"/>
    </row>
    <row r="45" spans="2:17" ht="25.5" customHeight="1" x14ac:dyDescent="0.25">
      <c r="B45" s="216"/>
      <c r="C45" s="232"/>
      <c r="D45" s="240"/>
      <c r="E45" s="240"/>
      <c r="F45" s="205"/>
      <c r="G45" s="210"/>
      <c r="H45" s="87"/>
      <c r="I45" s="87" t="s">
        <v>116</v>
      </c>
      <c r="J45" s="47" t="s">
        <v>49</v>
      </c>
      <c r="K45" s="115">
        <v>8</v>
      </c>
      <c r="L45" s="41">
        <v>43.86</v>
      </c>
      <c r="M45" s="41">
        <f t="shared" si="10"/>
        <v>110.30500594312882</v>
      </c>
      <c r="N45" s="96">
        <f t="shared" si="11"/>
        <v>91.92</v>
      </c>
      <c r="O45" s="271"/>
      <c r="P45" s="274"/>
      <c r="Q45" s="40"/>
    </row>
    <row r="46" spans="2:17" ht="25.5" customHeight="1" x14ac:dyDescent="0.25">
      <c r="B46" s="216"/>
      <c r="C46" s="232"/>
      <c r="D46" s="240"/>
      <c r="E46" s="240"/>
      <c r="F46" s="205"/>
      <c r="G46" s="210"/>
      <c r="H46" s="87"/>
      <c r="I46" s="87" t="s">
        <v>117</v>
      </c>
      <c r="J46" s="47" t="s">
        <v>49</v>
      </c>
      <c r="K46" s="115">
        <v>8</v>
      </c>
      <c r="L46" s="41">
        <v>45.2</v>
      </c>
      <c r="M46" s="41">
        <f t="shared" si="10"/>
        <v>113.67501752461065</v>
      </c>
      <c r="N46" s="96">
        <f t="shared" si="11"/>
        <v>94.73</v>
      </c>
      <c r="O46" s="271"/>
      <c r="P46" s="274"/>
      <c r="Q46" s="40"/>
    </row>
    <row r="47" spans="2:17" ht="25.5" customHeight="1" x14ac:dyDescent="0.25">
      <c r="B47" s="216"/>
      <c r="C47" s="232"/>
      <c r="D47" s="240"/>
      <c r="E47" s="240"/>
      <c r="F47" s="205"/>
      <c r="G47" s="210"/>
      <c r="H47" s="87"/>
      <c r="I47" s="87" t="s">
        <v>161</v>
      </c>
      <c r="J47" s="47" t="s">
        <v>49</v>
      </c>
      <c r="K47" s="115">
        <v>9</v>
      </c>
      <c r="L47" s="41">
        <v>55.44</v>
      </c>
      <c r="M47" s="41">
        <f t="shared" si="10"/>
        <v>139.42794184877022</v>
      </c>
      <c r="N47" s="96">
        <f t="shared" si="11"/>
        <v>116.19</v>
      </c>
      <c r="O47" s="271"/>
      <c r="P47" s="274"/>
      <c r="Q47" s="40"/>
    </row>
    <row r="48" spans="2:17" ht="25.5" customHeight="1" x14ac:dyDescent="0.25">
      <c r="B48" s="216"/>
      <c r="C48" s="232"/>
      <c r="D48" s="240"/>
      <c r="E48" s="240"/>
      <c r="F48" s="205"/>
      <c r="G48" s="210"/>
      <c r="H48" s="87"/>
      <c r="I48" s="87" t="s">
        <v>162</v>
      </c>
      <c r="J48" s="47" t="s">
        <v>49</v>
      </c>
      <c r="K48" s="115">
        <v>8</v>
      </c>
      <c r="L48" s="41">
        <v>163.76</v>
      </c>
      <c r="M48" s="41">
        <f t="shared" si="10"/>
        <v>411.84559446527078</v>
      </c>
      <c r="N48" s="96">
        <f t="shared" si="11"/>
        <v>343.2</v>
      </c>
      <c r="O48" s="271"/>
      <c r="P48" s="274"/>
      <c r="Q48" s="40"/>
    </row>
    <row r="49" spans="2:19" ht="39" customHeight="1" x14ac:dyDescent="0.25">
      <c r="B49" s="216"/>
      <c r="C49" s="198" t="s">
        <v>46</v>
      </c>
      <c r="D49" s="234" t="s">
        <v>62</v>
      </c>
      <c r="E49" s="234" t="s">
        <v>77</v>
      </c>
      <c r="F49" s="205"/>
      <c r="G49" s="210"/>
      <c r="H49" s="218" t="s">
        <v>44</v>
      </c>
      <c r="I49" s="219"/>
      <c r="J49" s="47"/>
      <c r="K49" s="120"/>
      <c r="L49" s="81">
        <f>L50+L51</f>
        <v>31491.17</v>
      </c>
      <c r="M49" s="159">
        <v>36515.68</v>
      </c>
      <c r="N49" s="94">
        <f>ROUND(M49/1.2,2)</f>
        <v>30429.73</v>
      </c>
      <c r="O49" s="270">
        <v>0</v>
      </c>
      <c r="P49" s="281">
        <f>N49</f>
        <v>30429.73</v>
      </c>
      <c r="Q49" s="40"/>
      <c r="R49" s="40"/>
      <c r="S49" s="84">
        <f>S50+S51</f>
        <v>31491.17</v>
      </c>
    </row>
    <row r="50" spans="2:19" ht="36.75" customHeight="1" x14ac:dyDescent="0.25">
      <c r="B50" s="216"/>
      <c r="C50" s="198"/>
      <c r="D50" s="234"/>
      <c r="E50" s="234"/>
      <c r="F50" s="205"/>
      <c r="G50" s="210"/>
      <c r="H50" s="5"/>
      <c r="I50" s="32" t="s">
        <v>50</v>
      </c>
      <c r="J50" s="47" t="s">
        <v>89</v>
      </c>
      <c r="K50" s="120">
        <v>363</v>
      </c>
      <c r="L50" s="29">
        <f>13266.86+1602.61+14167.85</f>
        <v>29037.32</v>
      </c>
      <c r="M50" s="29">
        <f>L50*M49/L49</f>
        <v>33670.310921366217</v>
      </c>
      <c r="N50" s="96">
        <f>ROUND(M50/1.2,2)</f>
        <v>28058.59</v>
      </c>
      <c r="O50" s="272"/>
      <c r="P50" s="282"/>
      <c r="Q50" s="40"/>
      <c r="R50" s="40"/>
      <c r="S50" s="40">
        <v>29037.32</v>
      </c>
    </row>
    <row r="51" spans="2:19" ht="28.5" customHeight="1" thickBot="1" x14ac:dyDescent="0.3">
      <c r="B51" s="217"/>
      <c r="C51" s="200"/>
      <c r="D51" s="236"/>
      <c r="E51" s="236"/>
      <c r="F51" s="206"/>
      <c r="G51" s="211"/>
      <c r="H51" s="49"/>
      <c r="I51" s="3" t="s">
        <v>88</v>
      </c>
      <c r="J51" s="131" t="s">
        <v>89</v>
      </c>
      <c r="K51" s="121">
        <v>36</v>
      </c>
      <c r="L51" s="26">
        <f>917.92+704.8+831.13</f>
        <v>2453.85</v>
      </c>
      <c r="M51" s="27">
        <f>L51*M49/L49</f>
        <v>2845.3690786337888</v>
      </c>
      <c r="N51" s="97">
        <f>ROUND(M51/1.2,2)</f>
        <v>2371.14</v>
      </c>
      <c r="O51" s="280"/>
      <c r="P51" s="283"/>
      <c r="Q51" s="40"/>
      <c r="S51" s="40">
        <v>2453.85</v>
      </c>
    </row>
    <row r="52" spans="2:19" ht="26.25" customHeight="1" x14ac:dyDescent="0.25">
      <c r="B52" s="248" t="s">
        <v>22</v>
      </c>
      <c r="C52" s="231" t="s">
        <v>7</v>
      </c>
      <c r="D52" s="239" t="s">
        <v>63</v>
      </c>
      <c r="E52" s="239" t="s">
        <v>78</v>
      </c>
      <c r="F52" s="203">
        <v>5</v>
      </c>
      <c r="G52" s="209" t="s">
        <v>201</v>
      </c>
      <c r="H52" s="251" t="s">
        <v>11</v>
      </c>
      <c r="I52" s="251"/>
      <c r="J52" s="251"/>
      <c r="K52" s="251"/>
      <c r="L52" s="36">
        <f>L53+L56</f>
        <v>6006.59</v>
      </c>
      <c r="M52" s="36">
        <f>M53+M56</f>
        <v>12136.54</v>
      </c>
      <c r="N52" s="93">
        <f>N53+N56</f>
        <v>10113.780000000001</v>
      </c>
      <c r="O52" s="77">
        <f>O53+O56</f>
        <v>637.85891400000003</v>
      </c>
      <c r="P52" s="78">
        <f>P53+P56</f>
        <v>9475.9210860000003</v>
      </c>
      <c r="Q52" s="40"/>
      <c r="R52" s="40"/>
    </row>
    <row r="53" spans="2:19" ht="33.75" customHeight="1" x14ac:dyDescent="0.25">
      <c r="B53" s="253"/>
      <c r="C53" s="232"/>
      <c r="D53" s="240"/>
      <c r="E53" s="240"/>
      <c r="F53" s="212"/>
      <c r="G53" s="259"/>
      <c r="H53" s="237" t="s">
        <v>32</v>
      </c>
      <c r="I53" s="238"/>
      <c r="J53" s="12"/>
      <c r="K53" s="119"/>
      <c r="L53" s="22">
        <f>SUM(L54:L55)</f>
        <v>3189.76</v>
      </c>
      <c r="M53" s="158">
        <v>7482.22</v>
      </c>
      <c r="N53" s="98">
        <f>ROUND(M53/1.2,2)</f>
        <v>6235.18</v>
      </c>
      <c r="O53" s="270">
        <f>N53*O5</f>
        <v>637.85891400000003</v>
      </c>
      <c r="P53" s="273">
        <f>N53-O53</f>
        <v>5597.3210859999999</v>
      </c>
      <c r="Q53" s="40"/>
    </row>
    <row r="54" spans="2:19" ht="33.75" customHeight="1" x14ac:dyDescent="0.25">
      <c r="B54" s="253"/>
      <c r="C54" s="232"/>
      <c r="D54" s="240"/>
      <c r="E54" s="240"/>
      <c r="F54" s="212"/>
      <c r="G54" s="259"/>
      <c r="H54" s="86"/>
      <c r="I54" s="87" t="s">
        <v>161</v>
      </c>
      <c r="J54" s="47" t="s">
        <v>49</v>
      </c>
      <c r="K54" s="115">
        <v>184</v>
      </c>
      <c r="L54" s="41">
        <v>1133.44</v>
      </c>
      <c r="M54" s="41">
        <f>L54*$M$53/$L$53</f>
        <v>2658.7101966292139</v>
      </c>
      <c r="N54" s="96">
        <f>ROUND(M54/1.2,2)</f>
        <v>2215.59</v>
      </c>
      <c r="O54" s="271"/>
      <c r="P54" s="274"/>
      <c r="Q54" s="40"/>
    </row>
    <row r="55" spans="2:19" ht="33.75" customHeight="1" x14ac:dyDescent="0.25">
      <c r="B55" s="253"/>
      <c r="C55" s="232"/>
      <c r="D55" s="240"/>
      <c r="E55" s="240"/>
      <c r="F55" s="212"/>
      <c r="G55" s="259"/>
      <c r="H55" s="86"/>
      <c r="I55" s="87" t="s">
        <v>137</v>
      </c>
      <c r="J55" s="47" t="s">
        <v>49</v>
      </c>
      <c r="K55" s="115">
        <v>136</v>
      </c>
      <c r="L55" s="41">
        <v>2056.3200000000002</v>
      </c>
      <c r="M55" s="41">
        <f t="shared" ref="M55" si="12">L55*$M$53/$L$53</f>
        <v>4823.5098033707873</v>
      </c>
      <c r="N55" s="96">
        <f t="shared" ref="N55" si="13">ROUND(M55/1.2,2)</f>
        <v>4019.59</v>
      </c>
      <c r="O55" s="271"/>
      <c r="P55" s="274"/>
      <c r="Q55" s="40"/>
    </row>
    <row r="56" spans="2:19" ht="33.75" customHeight="1" x14ac:dyDescent="0.25">
      <c r="B56" s="253"/>
      <c r="C56" s="199" t="s">
        <v>46</v>
      </c>
      <c r="D56" s="235" t="s">
        <v>64</v>
      </c>
      <c r="E56" s="235" t="s">
        <v>79</v>
      </c>
      <c r="F56" s="212"/>
      <c r="G56" s="259"/>
      <c r="H56" s="218" t="s">
        <v>45</v>
      </c>
      <c r="I56" s="219"/>
      <c r="J56" s="12"/>
      <c r="K56" s="119"/>
      <c r="L56" s="82">
        <f>L57</f>
        <v>2816.83</v>
      </c>
      <c r="M56" s="158">
        <f>M57</f>
        <v>4654.32</v>
      </c>
      <c r="N56" s="94">
        <f>N57</f>
        <v>3878.6</v>
      </c>
      <c r="O56" s="270">
        <v>0</v>
      </c>
      <c r="P56" s="281">
        <f>N56</f>
        <v>3878.6</v>
      </c>
      <c r="Q56" s="40"/>
      <c r="R56" s="89"/>
      <c r="S56" s="84">
        <v>2816.83</v>
      </c>
    </row>
    <row r="57" spans="2:19" ht="33" customHeight="1" thickBot="1" x14ac:dyDescent="0.3">
      <c r="B57" s="255"/>
      <c r="C57" s="245"/>
      <c r="D57" s="241"/>
      <c r="E57" s="241"/>
      <c r="F57" s="214"/>
      <c r="G57" s="262"/>
      <c r="H57" s="140"/>
      <c r="I57" s="141" t="s">
        <v>51</v>
      </c>
      <c r="J57" s="142" t="s">
        <v>89</v>
      </c>
      <c r="K57" s="143">
        <v>47</v>
      </c>
      <c r="L57" s="26">
        <v>2816.83</v>
      </c>
      <c r="M57" s="26">
        <v>4654.32</v>
      </c>
      <c r="N57" s="97">
        <f>ROUND(M57/1.2,2)</f>
        <v>3878.6</v>
      </c>
      <c r="O57" s="280"/>
      <c r="P57" s="283"/>
      <c r="Q57" s="40"/>
    </row>
    <row r="58" spans="2:19" ht="26.25" customHeight="1" x14ac:dyDescent="0.25">
      <c r="B58" s="215" t="s">
        <v>23</v>
      </c>
      <c r="C58" s="231" t="s">
        <v>7</v>
      </c>
      <c r="D58" s="239" t="s">
        <v>65</v>
      </c>
      <c r="E58" s="239" t="s">
        <v>80</v>
      </c>
      <c r="F58" s="203">
        <v>6</v>
      </c>
      <c r="G58" s="209" t="s">
        <v>202</v>
      </c>
      <c r="H58" s="222" t="s">
        <v>11</v>
      </c>
      <c r="I58" s="223"/>
      <c r="J58" s="223"/>
      <c r="K58" s="224"/>
      <c r="L58" s="36">
        <f>L59</f>
        <v>84.51</v>
      </c>
      <c r="M58" s="36">
        <f>M59</f>
        <v>205.93</v>
      </c>
      <c r="N58" s="93">
        <f>N59</f>
        <v>171.61</v>
      </c>
      <c r="O58" s="77">
        <f>O59</f>
        <v>17.555703000000001</v>
      </c>
      <c r="P58" s="78">
        <f>P59</f>
        <v>154.05429700000002</v>
      </c>
      <c r="Q58" s="40"/>
    </row>
    <row r="59" spans="2:19" ht="34.5" customHeight="1" x14ac:dyDescent="0.25">
      <c r="B59" s="216"/>
      <c r="C59" s="232"/>
      <c r="D59" s="240"/>
      <c r="E59" s="240"/>
      <c r="F59" s="204"/>
      <c r="G59" s="226"/>
      <c r="H59" s="249" t="s">
        <v>33</v>
      </c>
      <c r="I59" s="250"/>
      <c r="J59" s="13"/>
      <c r="K59" s="117"/>
      <c r="L59" s="28">
        <f>SUM(L60:L63)</f>
        <v>84.51</v>
      </c>
      <c r="M59" s="157">
        <v>205.93</v>
      </c>
      <c r="N59" s="94">
        <f>ROUND(M59/1.2,2)</f>
        <v>171.61</v>
      </c>
      <c r="O59" s="270">
        <f>N58*O5</f>
        <v>17.555703000000001</v>
      </c>
      <c r="P59" s="273">
        <f>N58-O58</f>
        <v>154.05429700000002</v>
      </c>
      <c r="Q59" s="40"/>
    </row>
    <row r="60" spans="2:19" ht="34.5" customHeight="1" x14ac:dyDescent="0.25">
      <c r="B60" s="216"/>
      <c r="C60" s="232"/>
      <c r="D60" s="240"/>
      <c r="E60" s="240"/>
      <c r="F60" s="205"/>
      <c r="G60" s="210"/>
      <c r="H60" s="33"/>
      <c r="I60" s="31" t="s">
        <v>118</v>
      </c>
      <c r="J60" s="12" t="s">
        <v>49</v>
      </c>
      <c r="K60" s="115">
        <v>1</v>
      </c>
      <c r="L60" s="23">
        <v>20.47</v>
      </c>
      <c r="M60" s="23">
        <f>L60*$M$59/$L$59</f>
        <v>49.880334871612824</v>
      </c>
      <c r="N60" s="96">
        <f>ROUND(M60/1.2,2)</f>
        <v>41.57</v>
      </c>
      <c r="O60" s="272"/>
      <c r="P60" s="274"/>
      <c r="Q60" s="40"/>
    </row>
    <row r="61" spans="2:19" ht="24.75" customHeight="1" x14ac:dyDescent="0.25">
      <c r="B61" s="216"/>
      <c r="C61" s="232"/>
      <c r="D61" s="240"/>
      <c r="E61" s="240"/>
      <c r="F61" s="205"/>
      <c r="G61" s="210"/>
      <c r="H61" s="33"/>
      <c r="I61" s="31" t="s">
        <v>138</v>
      </c>
      <c r="J61" s="12" t="s">
        <v>49</v>
      </c>
      <c r="K61" s="115">
        <v>5</v>
      </c>
      <c r="L61" s="23">
        <v>35.75</v>
      </c>
      <c r="M61" s="23">
        <f t="shared" ref="M61:M63" si="14">L61*$M$59/$L$59</f>
        <v>87.113921429416635</v>
      </c>
      <c r="N61" s="96">
        <f t="shared" ref="N61:N63" si="15">ROUND(M61/1.2,2)</f>
        <v>72.59</v>
      </c>
      <c r="O61" s="271"/>
      <c r="P61" s="274"/>
      <c r="Q61" s="40"/>
    </row>
    <row r="62" spans="2:19" ht="24.75" customHeight="1" x14ac:dyDescent="0.25">
      <c r="B62" s="216"/>
      <c r="C62" s="232"/>
      <c r="D62" s="240"/>
      <c r="E62" s="240"/>
      <c r="F62" s="205"/>
      <c r="G62" s="210"/>
      <c r="H62" s="33"/>
      <c r="I62" s="31" t="s">
        <v>207</v>
      </c>
      <c r="J62" s="12" t="s">
        <v>49</v>
      </c>
      <c r="K62" s="115">
        <v>1</v>
      </c>
      <c r="L62" s="23">
        <v>15.23</v>
      </c>
      <c r="M62" s="23">
        <f t="shared" si="14"/>
        <v>37.111748905454974</v>
      </c>
      <c r="N62" s="96">
        <f t="shared" si="15"/>
        <v>30.93</v>
      </c>
      <c r="O62" s="271"/>
      <c r="P62" s="274"/>
      <c r="Q62" s="40"/>
    </row>
    <row r="63" spans="2:19" ht="24.75" customHeight="1" thickBot="1" x14ac:dyDescent="0.3">
      <c r="B63" s="217"/>
      <c r="C63" s="245"/>
      <c r="D63" s="241"/>
      <c r="E63" s="241"/>
      <c r="F63" s="206"/>
      <c r="G63" s="211"/>
      <c r="H63" s="144"/>
      <c r="I63" s="130" t="s">
        <v>208</v>
      </c>
      <c r="J63" s="14" t="s">
        <v>49</v>
      </c>
      <c r="K63" s="121">
        <v>1</v>
      </c>
      <c r="L63" s="26">
        <v>13.06</v>
      </c>
      <c r="M63" s="26">
        <f t="shared" si="14"/>
        <v>31.823994793515563</v>
      </c>
      <c r="N63" s="97">
        <f t="shared" si="15"/>
        <v>26.52</v>
      </c>
      <c r="O63" s="271"/>
      <c r="P63" s="274"/>
      <c r="Q63" s="40"/>
    </row>
    <row r="64" spans="2:19" ht="28.5" customHeight="1" x14ac:dyDescent="0.25">
      <c r="B64" s="248" t="s">
        <v>24</v>
      </c>
      <c r="C64" s="197" t="s">
        <v>7</v>
      </c>
      <c r="D64" s="233" t="s">
        <v>66</v>
      </c>
      <c r="E64" s="233" t="s">
        <v>81</v>
      </c>
      <c r="F64" s="203">
        <v>7</v>
      </c>
      <c r="G64" s="209" t="s">
        <v>203</v>
      </c>
      <c r="H64" s="222" t="s">
        <v>11</v>
      </c>
      <c r="I64" s="223"/>
      <c r="J64" s="223"/>
      <c r="K64" s="224"/>
      <c r="L64" s="36">
        <f>L65</f>
        <v>85.38000000000001</v>
      </c>
      <c r="M64" s="36">
        <f>M65</f>
        <v>196.91</v>
      </c>
      <c r="N64" s="93">
        <f>N65</f>
        <v>164.09</v>
      </c>
      <c r="O64" s="77">
        <f>O65</f>
        <v>16.786407000000001</v>
      </c>
      <c r="P64" s="78">
        <f>P65</f>
        <v>147.30359300000001</v>
      </c>
      <c r="Q64" s="40"/>
    </row>
    <row r="65" spans="2:19" ht="22.5" customHeight="1" x14ac:dyDescent="0.25">
      <c r="B65" s="253"/>
      <c r="C65" s="198"/>
      <c r="D65" s="234"/>
      <c r="E65" s="234"/>
      <c r="F65" s="212"/>
      <c r="G65" s="259"/>
      <c r="H65" s="237" t="s">
        <v>34</v>
      </c>
      <c r="I65" s="238"/>
      <c r="J65" s="12"/>
      <c r="K65" s="119"/>
      <c r="L65" s="22">
        <f>L66+L67+L68</f>
        <v>85.38000000000001</v>
      </c>
      <c r="M65" s="158">
        <v>196.91</v>
      </c>
      <c r="N65" s="94">
        <f>ROUND(M65/1.2,2)</f>
        <v>164.09</v>
      </c>
      <c r="O65" s="270">
        <f>N65*O5</f>
        <v>16.786407000000001</v>
      </c>
      <c r="P65" s="273">
        <f>N64-O64</f>
        <v>147.30359300000001</v>
      </c>
      <c r="Q65" s="40"/>
    </row>
    <row r="66" spans="2:19" ht="22.5" customHeight="1" x14ac:dyDescent="0.25">
      <c r="B66" s="254"/>
      <c r="C66" s="199"/>
      <c r="D66" s="235"/>
      <c r="E66" s="235"/>
      <c r="F66" s="213"/>
      <c r="G66" s="260"/>
      <c r="H66" s="86"/>
      <c r="I66" s="87" t="s">
        <v>119</v>
      </c>
      <c r="J66" s="47" t="s">
        <v>49</v>
      </c>
      <c r="K66" s="115">
        <v>1</v>
      </c>
      <c r="L66" s="41">
        <v>9.66</v>
      </c>
      <c r="M66" s="41">
        <f>L66*$M$65/$L$65</f>
        <v>22.278643710470835</v>
      </c>
      <c r="N66" s="96">
        <f>M66/1.2</f>
        <v>18.565536425392363</v>
      </c>
      <c r="O66" s="272"/>
      <c r="P66" s="274"/>
      <c r="Q66" s="40"/>
    </row>
    <row r="67" spans="2:19" ht="22.5" customHeight="1" x14ac:dyDescent="0.25">
      <c r="B67" s="254"/>
      <c r="C67" s="199"/>
      <c r="D67" s="235"/>
      <c r="E67" s="235"/>
      <c r="F67" s="213"/>
      <c r="G67" s="260"/>
      <c r="H67" s="86"/>
      <c r="I67" s="87" t="s">
        <v>120</v>
      </c>
      <c r="J67" s="47" t="s">
        <v>49</v>
      </c>
      <c r="K67" s="115">
        <v>7</v>
      </c>
      <c r="L67" s="41">
        <v>67.930000000000007</v>
      </c>
      <c r="M67" s="41">
        <f t="shared" ref="M67:M68" si="16">L67*$M$65/$L$65</f>
        <v>156.66545209650971</v>
      </c>
      <c r="N67" s="96">
        <f t="shared" ref="N67:N68" si="17">M67/1.2</f>
        <v>130.5545434137581</v>
      </c>
      <c r="O67" s="272"/>
      <c r="P67" s="274"/>
      <c r="Q67" s="40"/>
    </row>
    <row r="68" spans="2:19" ht="22.5" customHeight="1" thickBot="1" x14ac:dyDescent="0.3">
      <c r="B68" s="255"/>
      <c r="C68" s="200"/>
      <c r="D68" s="236"/>
      <c r="E68" s="236"/>
      <c r="F68" s="214"/>
      <c r="G68" s="262"/>
      <c r="H68" s="129"/>
      <c r="I68" s="138" t="s">
        <v>121</v>
      </c>
      <c r="J68" s="131" t="s">
        <v>49</v>
      </c>
      <c r="K68" s="121">
        <v>1</v>
      </c>
      <c r="L68" s="132">
        <v>7.79</v>
      </c>
      <c r="M68" s="132">
        <f t="shared" si="16"/>
        <v>17.965904193019441</v>
      </c>
      <c r="N68" s="97">
        <f t="shared" si="17"/>
        <v>14.971586827516202</v>
      </c>
      <c r="O68" s="272"/>
      <c r="P68" s="274"/>
      <c r="Q68" s="40"/>
    </row>
    <row r="69" spans="2:19" ht="32.25" customHeight="1" x14ac:dyDescent="0.25">
      <c r="B69" s="256" t="s">
        <v>26</v>
      </c>
      <c r="C69" s="231" t="s">
        <v>7</v>
      </c>
      <c r="D69" s="239" t="s">
        <v>68</v>
      </c>
      <c r="E69" s="239" t="s">
        <v>85</v>
      </c>
      <c r="F69" s="203">
        <v>8</v>
      </c>
      <c r="G69" s="209" t="s">
        <v>191</v>
      </c>
      <c r="H69" s="222" t="s">
        <v>11</v>
      </c>
      <c r="I69" s="223"/>
      <c r="J69" s="223"/>
      <c r="K69" s="224"/>
      <c r="L69" s="36">
        <f>L70+L77+L80</f>
        <v>17161.05</v>
      </c>
      <c r="M69" s="36">
        <f>M70+M77+M80</f>
        <v>24176.050000000003</v>
      </c>
      <c r="N69" s="93">
        <f>N70+N77+N80</f>
        <v>20146.71</v>
      </c>
      <c r="O69" s="77">
        <f>O70+O80</f>
        <v>622.43821200000002</v>
      </c>
      <c r="P69" s="78">
        <f>P70+P80</f>
        <v>19524.271788000002</v>
      </c>
      <c r="Q69" s="40"/>
    </row>
    <row r="70" spans="2:19" ht="24.75" customHeight="1" x14ac:dyDescent="0.25">
      <c r="B70" s="257"/>
      <c r="C70" s="232"/>
      <c r="D70" s="240"/>
      <c r="E70" s="240"/>
      <c r="F70" s="212"/>
      <c r="G70" s="259"/>
      <c r="H70" s="237" t="s">
        <v>37</v>
      </c>
      <c r="I70" s="238"/>
      <c r="J70" s="12"/>
      <c r="K70" s="119"/>
      <c r="L70" s="22">
        <f>SUM(L71:L76)</f>
        <v>2747.7799999999997</v>
      </c>
      <c r="M70" s="158">
        <v>6441.11</v>
      </c>
      <c r="N70" s="94">
        <f>ROUND(M70/1.2,2)</f>
        <v>5367.59</v>
      </c>
      <c r="O70" s="270">
        <f>(N70+N77)*O5</f>
        <v>622.43821200000002</v>
      </c>
      <c r="P70" s="273">
        <f>N70+N77-O70</f>
        <v>5462.0017880000005</v>
      </c>
      <c r="Q70" s="40"/>
    </row>
    <row r="71" spans="2:19" ht="34.5" customHeight="1" x14ac:dyDescent="0.25">
      <c r="B71" s="258"/>
      <c r="C71" s="232"/>
      <c r="D71" s="240"/>
      <c r="E71" s="240"/>
      <c r="F71" s="213"/>
      <c r="G71" s="260"/>
      <c r="H71" s="86"/>
      <c r="I71" s="87" t="s">
        <v>163</v>
      </c>
      <c r="J71" s="47" t="s">
        <v>49</v>
      </c>
      <c r="K71" s="115">
        <v>1</v>
      </c>
      <c r="L71" s="41">
        <v>10.42</v>
      </c>
      <c r="M71" s="41">
        <f>L71*$M$70/$L$70</f>
        <v>24.425669522305277</v>
      </c>
      <c r="N71" s="96">
        <f t="shared" ref="N71:N76" si="18">M71/1.2</f>
        <v>20.354724601921067</v>
      </c>
      <c r="O71" s="271"/>
      <c r="P71" s="274"/>
      <c r="Q71" s="40"/>
    </row>
    <row r="72" spans="2:19" ht="34.5" customHeight="1" x14ac:dyDescent="0.25">
      <c r="B72" s="258"/>
      <c r="C72" s="232"/>
      <c r="D72" s="240"/>
      <c r="E72" s="240"/>
      <c r="F72" s="213"/>
      <c r="G72" s="260"/>
      <c r="H72" s="86"/>
      <c r="I72" s="87" t="s">
        <v>164</v>
      </c>
      <c r="J72" s="47" t="s">
        <v>49</v>
      </c>
      <c r="K72" s="115">
        <v>9</v>
      </c>
      <c r="L72" s="41">
        <v>149.22</v>
      </c>
      <c r="M72" s="41">
        <f>L72*$M$70/$L$70</f>
        <v>349.78871459869424</v>
      </c>
      <c r="N72" s="96">
        <f t="shared" si="18"/>
        <v>291.49059549891189</v>
      </c>
      <c r="O72" s="271"/>
      <c r="P72" s="274"/>
      <c r="Q72" s="40"/>
    </row>
    <row r="73" spans="2:19" ht="34.5" customHeight="1" x14ac:dyDescent="0.25">
      <c r="B73" s="258"/>
      <c r="C73" s="232"/>
      <c r="D73" s="240"/>
      <c r="E73" s="240"/>
      <c r="F73" s="213"/>
      <c r="G73" s="260"/>
      <c r="H73" s="86"/>
      <c r="I73" s="87" t="s">
        <v>165</v>
      </c>
      <c r="J73" s="47" t="s">
        <v>49</v>
      </c>
      <c r="K73" s="115">
        <v>2</v>
      </c>
      <c r="L73" s="41">
        <v>19.239999999999998</v>
      </c>
      <c r="M73" s="41">
        <f t="shared" ref="M73:M76" si="19">L73*$M$70/$L$70</f>
        <v>45.100756392433162</v>
      </c>
      <c r="N73" s="96">
        <f t="shared" si="18"/>
        <v>37.583963660360972</v>
      </c>
      <c r="O73" s="271"/>
      <c r="P73" s="274"/>
      <c r="Q73" s="40"/>
    </row>
    <row r="74" spans="2:19" ht="24.75" customHeight="1" x14ac:dyDescent="0.25">
      <c r="B74" s="258"/>
      <c r="C74" s="232"/>
      <c r="D74" s="240"/>
      <c r="E74" s="240"/>
      <c r="F74" s="213"/>
      <c r="G74" s="260"/>
      <c r="H74" s="86"/>
      <c r="I74" s="87" t="s">
        <v>166</v>
      </c>
      <c r="J74" s="47" t="s">
        <v>49</v>
      </c>
      <c r="K74" s="115">
        <v>24</v>
      </c>
      <c r="L74" s="41">
        <v>230.83</v>
      </c>
      <c r="M74" s="41">
        <f>L74*$M$70/$L$70</f>
        <v>541.09187100131749</v>
      </c>
      <c r="N74" s="96">
        <f t="shared" si="18"/>
        <v>450.90989250109794</v>
      </c>
      <c r="O74" s="271"/>
      <c r="P74" s="274"/>
      <c r="Q74" s="40"/>
    </row>
    <row r="75" spans="2:19" ht="24.75" customHeight="1" x14ac:dyDescent="0.25">
      <c r="B75" s="258"/>
      <c r="C75" s="232"/>
      <c r="D75" s="240"/>
      <c r="E75" s="240"/>
      <c r="F75" s="213"/>
      <c r="G75" s="260"/>
      <c r="H75" s="86"/>
      <c r="I75" s="87" t="s">
        <v>192</v>
      </c>
      <c r="J75" s="47" t="s">
        <v>49</v>
      </c>
      <c r="K75" s="115">
        <v>4</v>
      </c>
      <c r="L75" s="41">
        <v>377.41</v>
      </c>
      <c r="M75" s="41">
        <f t="shared" si="19"/>
        <v>884.692124223919</v>
      </c>
      <c r="N75" s="96">
        <f t="shared" si="18"/>
        <v>737.24343685326585</v>
      </c>
      <c r="O75" s="271"/>
      <c r="P75" s="274"/>
      <c r="Q75" s="40"/>
    </row>
    <row r="76" spans="2:19" ht="24.75" customHeight="1" x14ac:dyDescent="0.25">
      <c r="B76" s="258"/>
      <c r="C76" s="232"/>
      <c r="D76" s="240"/>
      <c r="E76" s="240"/>
      <c r="F76" s="213"/>
      <c r="G76" s="260"/>
      <c r="H76" s="86"/>
      <c r="I76" s="87" t="s">
        <v>167</v>
      </c>
      <c r="J76" s="47" t="s">
        <v>49</v>
      </c>
      <c r="K76" s="115">
        <f>15+16+16</f>
        <v>47</v>
      </c>
      <c r="L76" s="41">
        <f>215.55+1479.83+265.28</f>
        <v>1960.6599999999999</v>
      </c>
      <c r="M76" s="41">
        <f t="shared" si="19"/>
        <v>4596.0108642613304</v>
      </c>
      <c r="N76" s="96">
        <f t="shared" si="18"/>
        <v>3830.009053551109</v>
      </c>
      <c r="O76" s="271"/>
      <c r="P76" s="274"/>
      <c r="Q76" s="40"/>
    </row>
    <row r="77" spans="2:19" ht="23.25" customHeight="1" x14ac:dyDescent="0.25">
      <c r="B77" s="258"/>
      <c r="C77" s="232"/>
      <c r="D77" s="240"/>
      <c r="E77" s="240"/>
      <c r="F77" s="213"/>
      <c r="G77" s="260"/>
      <c r="H77" s="237" t="s">
        <v>195</v>
      </c>
      <c r="I77" s="238"/>
      <c r="J77" s="55"/>
      <c r="K77" s="122"/>
      <c r="L77" s="53">
        <f>L78+L79</f>
        <v>341.73</v>
      </c>
      <c r="M77" s="159">
        <v>860.22</v>
      </c>
      <c r="N77" s="94">
        <f>N78+N79</f>
        <v>716.85</v>
      </c>
      <c r="O77" s="272"/>
      <c r="P77" s="274"/>
      <c r="Q77" s="40"/>
    </row>
    <row r="78" spans="2:19" ht="23.25" customHeight="1" x14ac:dyDescent="0.25">
      <c r="B78" s="258"/>
      <c r="C78" s="232"/>
      <c r="D78" s="240"/>
      <c r="E78" s="240"/>
      <c r="F78" s="213"/>
      <c r="G78" s="260"/>
      <c r="H78" s="86"/>
      <c r="I78" s="87" t="s">
        <v>104</v>
      </c>
      <c r="J78" s="47" t="s">
        <v>49</v>
      </c>
      <c r="K78" s="115">
        <v>6</v>
      </c>
      <c r="L78" s="41">
        <v>227.34</v>
      </c>
      <c r="M78" s="41">
        <f>L78*M77/L77</f>
        <v>572.27171977877265</v>
      </c>
      <c r="N78" s="96">
        <f t="shared" ref="N78:N79" si="20">ROUND(M78/1.2,2)</f>
        <v>476.89</v>
      </c>
      <c r="O78" s="272"/>
      <c r="P78" s="274"/>
      <c r="Q78" s="40"/>
    </row>
    <row r="79" spans="2:19" ht="23.25" customHeight="1" x14ac:dyDescent="0.25">
      <c r="B79" s="258"/>
      <c r="C79" s="232"/>
      <c r="D79" s="240"/>
      <c r="E79" s="240"/>
      <c r="F79" s="213"/>
      <c r="G79" s="260"/>
      <c r="H79" s="86"/>
      <c r="I79" s="87" t="s">
        <v>105</v>
      </c>
      <c r="J79" s="47" t="s">
        <v>49</v>
      </c>
      <c r="K79" s="115">
        <v>3</v>
      </c>
      <c r="L79" s="41">
        <v>114.39</v>
      </c>
      <c r="M79" s="41">
        <f>L79*M77/L77</f>
        <v>287.94828022122726</v>
      </c>
      <c r="N79" s="96">
        <f t="shared" si="20"/>
        <v>239.96</v>
      </c>
      <c r="O79" s="272"/>
      <c r="P79" s="274"/>
      <c r="Q79" s="40"/>
    </row>
    <row r="80" spans="2:19" ht="37.5" customHeight="1" x14ac:dyDescent="0.25">
      <c r="B80" s="258"/>
      <c r="C80" s="199" t="s">
        <v>46</v>
      </c>
      <c r="D80" s="235" t="s">
        <v>67</v>
      </c>
      <c r="E80" s="235" t="s">
        <v>84</v>
      </c>
      <c r="F80" s="213"/>
      <c r="G80" s="260"/>
      <c r="H80" s="218" t="s">
        <v>42</v>
      </c>
      <c r="I80" s="219"/>
      <c r="J80" s="12"/>
      <c r="K80" s="120"/>
      <c r="L80" s="81">
        <f>SUM(L81:L81)</f>
        <v>14071.54</v>
      </c>
      <c r="M80" s="159">
        <f>16886.06-11.34</f>
        <v>16874.72</v>
      </c>
      <c r="N80" s="94">
        <f>SUM(N81:N81)</f>
        <v>14062.27</v>
      </c>
      <c r="O80" s="270">
        <v>0</v>
      </c>
      <c r="P80" s="281">
        <f>N80</f>
        <v>14062.27</v>
      </c>
      <c r="Q80" s="40"/>
      <c r="S80" s="84">
        <f>SUM(S81:S81)</f>
        <v>97.3</v>
      </c>
    </row>
    <row r="81" spans="2:19" ht="24.75" customHeight="1" thickBot="1" x14ac:dyDescent="0.3">
      <c r="B81" s="258"/>
      <c r="C81" s="232"/>
      <c r="D81" s="240"/>
      <c r="E81" s="240"/>
      <c r="F81" s="213"/>
      <c r="G81" s="260"/>
      <c r="H81" s="50"/>
      <c r="I81" s="32" t="s">
        <v>169</v>
      </c>
      <c r="J81" s="54" t="s">
        <v>170</v>
      </c>
      <c r="K81" s="120">
        <v>1</v>
      </c>
      <c r="L81" s="29">
        <v>14071.54</v>
      </c>
      <c r="M81" s="29">
        <f>L81*$M$80/$L$80</f>
        <v>16874.72</v>
      </c>
      <c r="N81" s="96">
        <f t="shared" ref="N81" si="21">ROUND(M81/1.2,2)</f>
        <v>14062.27</v>
      </c>
      <c r="O81" s="272"/>
      <c r="P81" s="282"/>
      <c r="Q81" s="40"/>
      <c r="S81" s="40">
        <v>97.3</v>
      </c>
    </row>
    <row r="82" spans="2:19" ht="29.25" customHeight="1" x14ac:dyDescent="0.25">
      <c r="B82" s="248" t="s">
        <v>27</v>
      </c>
      <c r="C82" s="231" t="s">
        <v>8</v>
      </c>
      <c r="D82" s="239" t="s">
        <v>69</v>
      </c>
      <c r="E82" s="242" t="s">
        <v>86</v>
      </c>
      <c r="F82" s="203">
        <v>9</v>
      </c>
      <c r="G82" s="209" t="s">
        <v>28</v>
      </c>
      <c r="H82" s="222" t="s">
        <v>11</v>
      </c>
      <c r="I82" s="223"/>
      <c r="J82" s="223"/>
      <c r="K82" s="224"/>
      <c r="L82" s="36">
        <f>L83</f>
        <v>1165.3900000000001</v>
      </c>
      <c r="M82" s="36">
        <f>M83</f>
        <v>1500.31</v>
      </c>
      <c r="N82" s="93">
        <f>N83</f>
        <v>1250.26</v>
      </c>
      <c r="O82" s="77">
        <f>O83</f>
        <v>127.90159800000001</v>
      </c>
      <c r="P82" s="78">
        <f>P83</f>
        <v>1122.3584020000001</v>
      </c>
      <c r="Q82" s="40"/>
      <c r="S82" s="83"/>
    </row>
    <row r="83" spans="2:19" ht="27.75" customHeight="1" x14ac:dyDescent="0.25">
      <c r="B83" s="216"/>
      <c r="C83" s="232"/>
      <c r="D83" s="240"/>
      <c r="E83" s="240"/>
      <c r="F83" s="205"/>
      <c r="G83" s="210"/>
      <c r="H83" s="249" t="s">
        <v>39</v>
      </c>
      <c r="I83" s="250"/>
      <c r="J83" s="12"/>
      <c r="K83" s="119"/>
      <c r="L83" s="22">
        <f>SUM(L84:L84)</f>
        <v>1165.3900000000001</v>
      </c>
      <c r="M83" s="158">
        <v>1500.31</v>
      </c>
      <c r="N83" s="94">
        <f>SUM(N84:N84)</f>
        <v>1250.26</v>
      </c>
      <c r="O83" s="270">
        <f>N83*O5</f>
        <v>127.90159800000001</v>
      </c>
      <c r="P83" s="273">
        <f>N82-O82</f>
        <v>1122.3584020000001</v>
      </c>
      <c r="Q83" s="40"/>
    </row>
    <row r="84" spans="2:19" ht="27.75" customHeight="1" thickBot="1" x14ac:dyDescent="0.3">
      <c r="B84" s="217"/>
      <c r="C84" s="245"/>
      <c r="D84" s="241"/>
      <c r="E84" s="241"/>
      <c r="F84" s="206"/>
      <c r="G84" s="211"/>
      <c r="H84" s="140"/>
      <c r="I84" s="34" t="s">
        <v>193</v>
      </c>
      <c r="J84" s="14" t="s">
        <v>49</v>
      </c>
      <c r="K84" s="145">
        <v>3</v>
      </c>
      <c r="L84" s="26">
        <f>50.79+904.86+126+83.74</f>
        <v>1165.3900000000001</v>
      </c>
      <c r="M84" s="26">
        <f>L84*$M$83/$L$83</f>
        <v>1500.31</v>
      </c>
      <c r="N84" s="97">
        <f>ROUND(M84/1.2,2)</f>
        <v>1250.26</v>
      </c>
      <c r="O84" s="272"/>
      <c r="P84" s="274"/>
      <c r="Q84" s="40"/>
    </row>
    <row r="85" spans="2:19" ht="24.75" customHeight="1" x14ac:dyDescent="0.25">
      <c r="B85" s="215" t="s">
        <v>29</v>
      </c>
      <c r="C85" s="197" t="s">
        <v>7</v>
      </c>
      <c r="D85" s="233" t="s">
        <v>70</v>
      </c>
      <c r="E85" s="233" t="s">
        <v>87</v>
      </c>
      <c r="F85" s="203">
        <v>10</v>
      </c>
      <c r="G85" s="209" t="s">
        <v>205</v>
      </c>
      <c r="H85" s="222" t="s">
        <v>11</v>
      </c>
      <c r="I85" s="223"/>
      <c r="J85" s="223"/>
      <c r="K85" s="224"/>
      <c r="L85" s="36">
        <f>L86</f>
        <v>143920.02000000002</v>
      </c>
      <c r="M85" s="36">
        <f t="shared" ref="M85:N85" si="22">M86</f>
        <v>234449.49</v>
      </c>
      <c r="N85" s="93">
        <f t="shared" si="22"/>
        <v>195374.58</v>
      </c>
      <c r="O85" s="127">
        <f>O86</f>
        <v>19986.819533999998</v>
      </c>
      <c r="P85" s="78">
        <f>P86</f>
        <v>123784.74046599999</v>
      </c>
      <c r="Q85" s="40"/>
    </row>
    <row r="86" spans="2:19" ht="31.5" customHeight="1" x14ac:dyDescent="0.25">
      <c r="B86" s="216"/>
      <c r="C86" s="198"/>
      <c r="D86" s="234"/>
      <c r="E86" s="234"/>
      <c r="F86" s="204"/>
      <c r="G86" s="226"/>
      <c r="H86" s="220" t="s">
        <v>194</v>
      </c>
      <c r="I86" s="221"/>
      <c r="J86" s="13"/>
      <c r="K86" s="116"/>
      <c r="L86" s="44">
        <f>SUM(L87:L117)</f>
        <v>143920.02000000002</v>
      </c>
      <c r="M86" s="157">
        <v>234449.49</v>
      </c>
      <c r="N86" s="96">
        <f>ROUND(M86/1.2,2)</f>
        <v>195374.58</v>
      </c>
      <c r="O86" s="279">
        <f>N86*O5</f>
        <v>19986.819533999998</v>
      </c>
      <c r="P86" s="285">
        <f>N85-O86-51603.02</f>
        <v>123784.74046599999</v>
      </c>
      <c r="Q86" s="40"/>
    </row>
    <row r="87" spans="2:19" s="148" customFormat="1" ht="31.5" customHeight="1" x14ac:dyDescent="0.25">
      <c r="B87" s="216"/>
      <c r="C87" s="198"/>
      <c r="D87" s="234"/>
      <c r="E87" s="234"/>
      <c r="F87" s="204"/>
      <c r="G87" s="226"/>
      <c r="H87" s="149"/>
      <c r="I87" s="87" t="s">
        <v>103</v>
      </c>
      <c r="J87" s="47" t="s">
        <v>49</v>
      </c>
      <c r="K87" s="115">
        <v>8</v>
      </c>
      <c r="L87" s="41">
        <v>368.64</v>
      </c>
      <c r="M87" s="41">
        <f t="shared" ref="M87:M102" si="23">L87*$M$86/$L$86</f>
        <v>600.52423556917222</v>
      </c>
      <c r="N87" s="136">
        <f t="shared" ref="N87" si="24">ROUND(M87/1.2,2)</f>
        <v>500.44</v>
      </c>
      <c r="O87" s="271"/>
      <c r="P87" s="286"/>
      <c r="Q87" s="150"/>
    </row>
    <row r="88" spans="2:19" ht="50.25" customHeight="1" x14ac:dyDescent="0.25">
      <c r="B88" s="216"/>
      <c r="C88" s="198"/>
      <c r="D88" s="234"/>
      <c r="E88" s="234"/>
      <c r="F88" s="204"/>
      <c r="G88" s="226"/>
      <c r="H88" s="90"/>
      <c r="I88" s="108" t="s">
        <v>209</v>
      </c>
      <c r="J88" s="47" t="s">
        <v>52</v>
      </c>
      <c r="K88" s="115">
        <f>100*6.9</f>
        <v>690</v>
      </c>
      <c r="L88" s="41">
        <f>2370.09+3061.7+1374+5344.8+2570.4+1885.2+1886.5+1533.3+1412+842+662.2+145.2+3823.75+323.8+161.9+218+183.1+391+223.21+323.2+121.45+130.2+64.5+67.68+112.8+27.87+73.55+1085.5+331.4+365.3+181.2+236.7+150.5+367.7+181.6+4179.6+922+2400+410+3483+2330.5</f>
        <v>45958.400000000001</v>
      </c>
      <c r="M88" s="41">
        <f t="shared" si="23"/>
        <v>74867.439854552533</v>
      </c>
      <c r="N88" s="136">
        <f t="shared" ref="N88:N117" si="25">ROUND(M88/1.2,2)</f>
        <v>62389.53</v>
      </c>
      <c r="O88" s="271"/>
      <c r="P88" s="286"/>
      <c r="Q88" s="40"/>
      <c r="R88" s="40"/>
    </row>
    <row r="89" spans="2:19" ht="22.5" customHeight="1" x14ac:dyDescent="0.25">
      <c r="B89" s="216"/>
      <c r="C89" s="198"/>
      <c r="D89" s="234"/>
      <c r="E89" s="234"/>
      <c r="F89" s="204"/>
      <c r="G89" s="226"/>
      <c r="H89" s="90"/>
      <c r="I89" s="108" t="s">
        <v>139</v>
      </c>
      <c r="J89" s="47" t="s">
        <v>49</v>
      </c>
      <c r="K89" s="115">
        <f>10*3.8</f>
        <v>38</v>
      </c>
      <c r="L89" s="41">
        <f>1200.62+224.96</f>
        <v>1425.58</v>
      </c>
      <c r="M89" s="41">
        <f t="shared" si="23"/>
        <v>2322.3072367152249</v>
      </c>
      <c r="N89" s="136">
        <f t="shared" si="25"/>
        <v>1935.26</v>
      </c>
      <c r="O89" s="271"/>
      <c r="P89" s="286"/>
      <c r="Q89" s="40"/>
    </row>
    <row r="90" spans="2:19" ht="22.5" customHeight="1" x14ac:dyDescent="0.25">
      <c r="B90" s="216"/>
      <c r="C90" s="198"/>
      <c r="D90" s="234"/>
      <c r="E90" s="234"/>
      <c r="F90" s="204"/>
      <c r="G90" s="226"/>
      <c r="H90" s="90"/>
      <c r="I90" s="108" t="s">
        <v>140</v>
      </c>
      <c r="J90" s="47" t="s">
        <v>52</v>
      </c>
      <c r="K90" s="115">
        <f>100*18.8568</f>
        <v>1885.68</v>
      </c>
      <c r="L90" s="41">
        <f>2831.73+2434.32</f>
        <v>5266.05</v>
      </c>
      <c r="M90" s="41">
        <f t="shared" si="23"/>
        <v>8578.5336662300342</v>
      </c>
      <c r="N90" s="136">
        <f t="shared" si="25"/>
        <v>7148.78</v>
      </c>
      <c r="O90" s="271"/>
      <c r="P90" s="286"/>
      <c r="Q90" s="40"/>
    </row>
    <row r="91" spans="2:19" ht="22.5" customHeight="1" x14ac:dyDescent="0.25">
      <c r="B91" s="216"/>
      <c r="C91" s="198"/>
      <c r="D91" s="234"/>
      <c r="E91" s="234"/>
      <c r="F91" s="204"/>
      <c r="G91" s="226"/>
      <c r="H91" s="90"/>
      <c r="I91" s="108" t="s">
        <v>141</v>
      </c>
      <c r="J91" s="47" t="s">
        <v>52</v>
      </c>
      <c r="K91" s="115">
        <f>100*6.1886</f>
        <v>618.86</v>
      </c>
      <c r="L91" s="41">
        <f>1910.92+1078.22+65+191.25+39.2+28.5+2.6+1.5+32.5+78.39+7.7+12.49</f>
        <v>3448.2699999999995</v>
      </c>
      <c r="M91" s="41">
        <f t="shared" si="23"/>
        <v>5617.3223355742984</v>
      </c>
      <c r="N91" s="136">
        <f t="shared" si="25"/>
        <v>4681.1000000000004</v>
      </c>
      <c r="O91" s="271"/>
      <c r="P91" s="286"/>
      <c r="Q91" s="40"/>
    </row>
    <row r="92" spans="2:19" ht="22.5" customHeight="1" x14ac:dyDescent="0.25">
      <c r="B92" s="216"/>
      <c r="C92" s="198"/>
      <c r="D92" s="234"/>
      <c r="E92" s="234"/>
      <c r="F92" s="204"/>
      <c r="G92" s="226"/>
      <c r="H92" s="90"/>
      <c r="I92" s="108" t="s">
        <v>142</v>
      </c>
      <c r="J92" s="47" t="s">
        <v>49</v>
      </c>
      <c r="K92" s="115">
        <v>16</v>
      </c>
      <c r="L92" s="41">
        <f>48.8+878.88</f>
        <v>927.68</v>
      </c>
      <c r="M92" s="41">
        <f t="shared" si="23"/>
        <v>1511.2150685026306</v>
      </c>
      <c r="N92" s="136">
        <f t="shared" si="25"/>
        <v>1259.3499999999999</v>
      </c>
      <c r="O92" s="271"/>
      <c r="P92" s="286"/>
      <c r="Q92" s="40"/>
    </row>
    <row r="93" spans="2:19" ht="22.5" customHeight="1" x14ac:dyDescent="0.25">
      <c r="B93" s="216"/>
      <c r="C93" s="198"/>
      <c r="D93" s="234"/>
      <c r="E93" s="234"/>
      <c r="F93" s="204"/>
      <c r="G93" s="226"/>
      <c r="H93" s="90"/>
      <c r="I93" s="108" t="s">
        <v>143</v>
      </c>
      <c r="J93" s="47" t="s">
        <v>49</v>
      </c>
      <c r="K93" s="115">
        <v>4</v>
      </c>
      <c r="L93" s="41">
        <f>15.79+2.28+1.26</f>
        <v>19.330000000000002</v>
      </c>
      <c r="M93" s="41">
        <f t="shared" si="23"/>
        <v>31.489077347960347</v>
      </c>
      <c r="N93" s="136">
        <f t="shared" si="25"/>
        <v>26.24</v>
      </c>
      <c r="O93" s="271"/>
      <c r="P93" s="286"/>
      <c r="Q93" s="40"/>
    </row>
    <row r="94" spans="2:19" ht="22.5" customHeight="1" x14ac:dyDescent="0.25">
      <c r="B94" s="216"/>
      <c r="C94" s="198"/>
      <c r="D94" s="234"/>
      <c r="E94" s="234"/>
      <c r="F94" s="204"/>
      <c r="G94" s="226"/>
      <c r="H94" s="90"/>
      <c r="I94" s="108" t="s">
        <v>144</v>
      </c>
      <c r="J94" s="47" t="s">
        <v>49</v>
      </c>
      <c r="K94" s="115">
        <v>6</v>
      </c>
      <c r="L94" s="41">
        <f>116.34+76.2</f>
        <v>192.54000000000002</v>
      </c>
      <c r="M94" s="41">
        <f t="shared" si="23"/>
        <v>313.65271353214092</v>
      </c>
      <c r="N94" s="136">
        <f t="shared" ref="N94:N106" si="26">ROUND(M94/1.2,2)</f>
        <v>261.38</v>
      </c>
      <c r="O94" s="271"/>
      <c r="P94" s="286"/>
      <c r="Q94" s="40"/>
    </row>
    <row r="95" spans="2:19" ht="22.5" customHeight="1" x14ac:dyDescent="0.25">
      <c r="B95" s="216"/>
      <c r="C95" s="198"/>
      <c r="D95" s="234"/>
      <c r="E95" s="234"/>
      <c r="F95" s="204"/>
      <c r="G95" s="226"/>
      <c r="H95" s="90"/>
      <c r="I95" s="108" t="s">
        <v>145</v>
      </c>
      <c r="J95" s="47" t="s">
        <v>49</v>
      </c>
      <c r="K95" s="115">
        <v>7</v>
      </c>
      <c r="L95" s="41">
        <f>24.15+36.61</f>
        <v>60.76</v>
      </c>
      <c r="M95" s="41">
        <f t="shared" si="23"/>
        <v>98.979634747132451</v>
      </c>
      <c r="N95" s="136">
        <f t="shared" si="26"/>
        <v>82.48</v>
      </c>
      <c r="O95" s="271"/>
      <c r="P95" s="286"/>
      <c r="Q95" s="40"/>
    </row>
    <row r="96" spans="2:19" ht="22.5" customHeight="1" x14ac:dyDescent="0.25">
      <c r="B96" s="216"/>
      <c r="C96" s="198"/>
      <c r="D96" s="234"/>
      <c r="E96" s="234"/>
      <c r="F96" s="204"/>
      <c r="G96" s="226"/>
      <c r="H96" s="90"/>
      <c r="I96" s="108" t="s">
        <v>146</v>
      </c>
      <c r="J96" s="47" t="s">
        <v>49</v>
      </c>
      <c r="K96" s="115">
        <f>10*24.5</f>
        <v>245</v>
      </c>
      <c r="L96" s="41">
        <f>33.81+63.18+4.84</f>
        <v>101.83000000000001</v>
      </c>
      <c r="M96" s="41">
        <f t="shared" si="23"/>
        <v>165.88374269750656</v>
      </c>
      <c r="N96" s="136">
        <f t="shared" si="26"/>
        <v>138.24</v>
      </c>
      <c r="O96" s="271"/>
      <c r="P96" s="286"/>
      <c r="Q96" s="40"/>
    </row>
    <row r="97" spans="2:40" ht="22.5" customHeight="1" x14ac:dyDescent="0.25">
      <c r="B97" s="216"/>
      <c r="C97" s="198"/>
      <c r="D97" s="234"/>
      <c r="E97" s="234"/>
      <c r="F97" s="204"/>
      <c r="G97" s="226"/>
      <c r="H97" s="90"/>
      <c r="I97" s="108" t="s">
        <v>147</v>
      </c>
      <c r="J97" s="47" t="s">
        <v>49</v>
      </c>
      <c r="K97" s="115">
        <v>10</v>
      </c>
      <c r="L97" s="41">
        <f>193.7+76.1</f>
        <v>269.79999999999995</v>
      </c>
      <c r="M97" s="41">
        <f t="shared" si="23"/>
        <v>439.51128134918252</v>
      </c>
      <c r="N97" s="136">
        <f t="shared" si="26"/>
        <v>366.26</v>
      </c>
      <c r="O97" s="271"/>
      <c r="P97" s="286"/>
      <c r="Q97" s="40"/>
    </row>
    <row r="98" spans="2:40" ht="22.5" customHeight="1" x14ac:dyDescent="0.25">
      <c r="B98" s="216"/>
      <c r="C98" s="198"/>
      <c r="D98" s="234"/>
      <c r="E98" s="234"/>
      <c r="F98" s="204"/>
      <c r="G98" s="226"/>
      <c r="H98" s="90"/>
      <c r="I98" s="108" t="s">
        <v>148</v>
      </c>
      <c r="J98" s="47" t="s">
        <v>49</v>
      </c>
      <c r="K98" s="115">
        <v>109</v>
      </c>
      <c r="L98" s="41">
        <f>868.83+7829.47</f>
        <v>8698.3000000000011</v>
      </c>
      <c r="M98" s="41">
        <f t="shared" si="23"/>
        <v>14169.759001332823</v>
      </c>
      <c r="N98" s="136">
        <f t="shared" si="26"/>
        <v>11808.13</v>
      </c>
      <c r="O98" s="271"/>
      <c r="P98" s="286"/>
      <c r="Q98" s="40"/>
    </row>
    <row r="99" spans="2:40" ht="22.5" customHeight="1" x14ac:dyDescent="0.25">
      <c r="B99" s="216"/>
      <c r="C99" s="198"/>
      <c r="D99" s="234"/>
      <c r="E99" s="234"/>
      <c r="F99" s="204"/>
      <c r="G99" s="226"/>
      <c r="H99" s="90"/>
      <c r="I99" s="108" t="s">
        <v>149</v>
      </c>
      <c r="J99" s="47" t="s">
        <v>49</v>
      </c>
      <c r="K99" s="115">
        <v>5</v>
      </c>
      <c r="L99" s="41">
        <f>545.8+404.7</f>
        <v>950.5</v>
      </c>
      <c r="M99" s="41">
        <f t="shared" si="23"/>
        <v>1548.3894474514384</v>
      </c>
      <c r="N99" s="136">
        <f t="shared" si="26"/>
        <v>1290.32</v>
      </c>
      <c r="O99" s="271"/>
      <c r="P99" s="286"/>
      <c r="Q99" s="40"/>
    </row>
    <row r="100" spans="2:40" ht="22.5" customHeight="1" x14ac:dyDescent="0.25">
      <c r="B100" s="216"/>
      <c r="C100" s="198"/>
      <c r="D100" s="234"/>
      <c r="E100" s="234"/>
      <c r="F100" s="204"/>
      <c r="G100" s="226"/>
      <c r="H100" s="90"/>
      <c r="I100" s="108" t="s">
        <v>150</v>
      </c>
      <c r="J100" s="47" t="s">
        <v>49</v>
      </c>
      <c r="K100" s="115">
        <v>16</v>
      </c>
      <c r="L100" s="41">
        <f>33.01+309.6</f>
        <v>342.61</v>
      </c>
      <c r="M100" s="41">
        <f t="shared" si="23"/>
        <v>558.12068236858215</v>
      </c>
      <c r="N100" s="136">
        <f t="shared" si="26"/>
        <v>465.1</v>
      </c>
      <c r="O100" s="271"/>
      <c r="P100" s="286"/>
      <c r="Q100" s="40"/>
    </row>
    <row r="101" spans="2:40" ht="22.5" customHeight="1" x14ac:dyDescent="0.25">
      <c r="B101" s="216"/>
      <c r="C101" s="198"/>
      <c r="D101" s="234"/>
      <c r="E101" s="234"/>
      <c r="F101" s="204"/>
      <c r="G101" s="226"/>
      <c r="H101" s="90"/>
      <c r="I101" s="108" t="s">
        <v>151</v>
      </c>
      <c r="J101" s="47" t="s">
        <v>52</v>
      </c>
      <c r="K101" s="115">
        <f>12.56*100</f>
        <v>1256</v>
      </c>
      <c r="L101" s="41">
        <f>1151.62+2958.05</f>
        <v>4109.67</v>
      </c>
      <c r="M101" s="41">
        <f t="shared" si="23"/>
        <v>6694.7602951159952</v>
      </c>
      <c r="N101" s="136">
        <f t="shared" si="26"/>
        <v>5578.97</v>
      </c>
      <c r="O101" s="271"/>
      <c r="P101" s="286"/>
      <c r="Q101" s="154">
        <f>1256*Q106/AN101</f>
        <v>2958.0521319645172</v>
      </c>
      <c r="AN101" s="155">
        <f>K101+K102+K103+K104</f>
        <v>10033</v>
      </c>
    </row>
    <row r="102" spans="2:40" ht="22.5" customHeight="1" x14ac:dyDescent="0.25">
      <c r="B102" s="216"/>
      <c r="C102" s="198"/>
      <c r="D102" s="234"/>
      <c r="E102" s="234"/>
      <c r="F102" s="204"/>
      <c r="G102" s="226"/>
      <c r="H102" s="90"/>
      <c r="I102" s="108" t="s">
        <v>184</v>
      </c>
      <c r="J102" s="47" t="s">
        <v>52</v>
      </c>
      <c r="K102" s="115">
        <f>(54.733*100)-K17</f>
        <v>1957.2999999999993</v>
      </c>
      <c r="L102" s="41">
        <f>5002.59-L17+4609.71</f>
        <v>6398.67</v>
      </c>
      <c r="M102" s="41">
        <f t="shared" si="23"/>
        <v>10423.601373723404</v>
      </c>
      <c r="N102" s="136">
        <f t="shared" si="26"/>
        <v>8686.33</v>
      </c>
      <c r="O102" s="271"/>
      <c r="P102" s="286"/>
      <c r="Q102" s="154">
        <f>1957.3*Q106/AN101</f>
        <v>4609.7097435462974</v>
      </c>
    </row>
    <row r="103" spans="2:40" ht="22.5" customHeight="1" x14ac:dyDescent="0.25">
      <c r="B103" s="216"/>
      <c r="C103" s="198"/>
      <c r="D103" s="234"/>
      <c r="E103" s="234"/>
      <c r="F103" s="204"/>
      <c r="G103" s="226"/>
      <c r="H103" s="90"/>
      <c r="I103" s="108" t="s">
        <v>182</v>
      </c>
      <c r="J103" s="47" t="s">
        <v>52</v>
      </c>
      <c r="K103" s="115">
        <f>(62.147*100)-K18</f>
        <v>5663.7</v>
      </c>
      <c r="L103" s="41">
        <f>6697.58-L18+13338.79</f>
        <v>19442.560000000001</v>
      </c>
      <c r="M103" s="41">
        <f>L103*$M$86/$L$86-487.25</f>
        <v>31185.190542284523</v>
      </c>
      <c r="N103" s="136">
        <f t="shared" ref="N103:N104" si="27">ROUND(M103/1.2,2)</f>
        <v>25987.66</v>
      </c>
      <c r="O103" s="271"/>
      <c r="P103" s="286"/>
      <c r="Q103" s="154">
        <f>5663.7*Q106/AN101</f>
        <v>13338.789697298913</v>
      </c>
    </row>
    <row r="104" spans="2:40" ht="22.5" customHeight="1" x14ac:dyDescent="0.25">
      <c r="B104" s="216"/>
      <c r="C104" s="198"/>
      <c r="D104" s="234"/>
      <c r="E104" s="234"/>
      <c r="F104" s="204"/>
      <c r="G104" s="226"/>
      <c r="H104" s="90"/>
      <c r="I104" s="108" t="s">
        <v>183</v>
      </c>
      <c r="J104" s="47" t="s">
        <v>52</v>
      </c>
      <c r="K104" s="115">
        <f>11.56*100</f>
        <v>1156</v>
      </c>
      <c r="L104" s="41">
        <f>1361.32+2722.54</f>
        <v>4083.8599999999997</v>
      </c>
      <c r="M104" s="41">
        <f t="shared" ref="M104" si="28">L104*$M$86/$L$86</f>
        <v>6652.7151276896693</v>
      </c>
      <c r="N104" s="136">
        <f t="shared" si="27"/>
        <v>5543.93</v>
      </c>
      <c r="O104" s="271"/>
      <c r="P104" s="286"/>
      <c r="Q104" s="154">
        <f>1156*Q106/AN101</f>
        <v>2722.5384271902722</v>
      </c>
    </row>
    <row r="105" spans="2:40" ht="22.5" customHeight="1" x14ac:dyDescent="0.25">
      <c r="B105" s="216"/>
      <c r="C105" s="198"/>
      <c r="D105" s="234"/>
      <c r="E105" s="234"/>
      <c r="F105" s="204"/>
      <c r="G105" s="226"/>
      <c r="H105" s="90"/>
      <c r="I105" s="108" t="s">
        <v>181</v>
      </c>
      <c r="J105" s="47" t="s">
        <v>152</v>
      </c>
      <c r="K105" s="115">
        <f>0.285+0.443</f>
        <v>0.72799999999999998</v>
      </c>
      <c r="L105" s="41">
        <f>1944.81+32.72</f>
        <v>1977.53</v>
      </c>
      <c r="M105" s="156">
        <v>4196.03</v>
      </c>
      <c r="N105" s="136">
        <f t="shared" si="26"/>
        <v>3496.69</v>
      </c>
      <c r="O105" s="271"/>
      <c r="P105" s="286"/>
      <c r="Q105" s="41">
        <f>175.62+1285.46+125.37+230.31+252.19+468.85+758.85+797.8+6620.69+472.38+853.44+96.3+49.44+11.6+247.98+196.3+145.58+10453.12+4825.12</f>
        <v>28066.399999999998</v>
      </c>
      <c r="AM105" s="41">
        <v>4196.03</v>
      </c>
    </row>
    <row r="106" spans="2:40" ht="22.5" customHeight="1" x14ac:dyDescent="0.25">
      <c r="B106" s="216"/>
      <c r="C106" s="198"/>
      <c r="D106" s="234"/>
      <c r="E106" s="234"/>
      <c r="F106" s="204"/>
      <c r="G106" s="226"/>
      <c r="H106" s="90"/>
      <c r="I106" s="108" t="s">
        <v>180</v>
      </c>
      <c r="J106" s="47" t="s">
        <v>49</v>
      </c>
      <c r="K106" s="115">
        <f>100*30+(1115+25+30)</f>
        <v>4170</v>
      </c>
      <c r="L106" s="41">
        <f>3525.3+5396.6+146.5+283.5</f>
        <v>9351.9000000000015</v>
      </c>
      <c r="M106" s="41">
        <f>L106*$M$86/$L$86</f>
        <v>15234.49055615056</v>
      </c>
      <c r="N106" s="136">
        <f t="shared" si="26"/>
        <v>12695.41</v>
      </c>
      <c r="O106" s="271"/>
      <c r="P106" s="286"/>
      <c r="Q106" s="40">
        <v>23629.09</v>
      </c>
    </row>
    <row r="107" spans="2:40" ht="22.5" customHeight="1" x14ac:dyDescent="0.25">
      <c r="B107" s="216"/>
      <c r="C107" s="199"/>
      <c r="D107" s="235"/>
      <c r="E107" s="235"/>
      <c r="F107" s="205"/>
      <c r="G107" s="210"/>
      <c r="H107" s="48"/>
      <c r="I107" s="108" t="s">
        <v>154</v>
      </c>
      <c r="J107" s="47" t="s">
        <v>49</v>
      </c>
      <c r="K107" s="115">
        <f>6*10</f>
        <v>60</v>
      </c>
      <c r="L107" s="41">
        <v>4504.68</v>
      </c>
      <c r="M107" s="41">
        <f>L107*$M$86/$L$86</f>
        <v>7338.2419528096225</v>
      </c>
      <c r="N107" s="136">
        <f t="shared" ref="N107:N116" si="29">ROUND(M107/1.2,2)</f>
        <v>6115.2</v>
      </c>
      <c r="O107" s="271"/>
      <c r="P107" s="286"/>
      <c r="Q107" s="40"/>
    </row>
    <row r="108" spans="2:40" ht="22.5" customHeight="1" x14ac:dyDescent="0.25">
      <c r="B108" s="216"/>
      <c r="C108" s="199"/>
      <c r="D108" s="235"/>
      <c r="E108" s="235"/>
      <c r="F108" s="205"/>
      <c r="G108" s="210"/>
      <c r="H108" s="48"/>
      <c r="I108" s="108" t="s">
        <v>153</v>
      </c>
      <c r="J108" s="47" t="s">
        <v>49</v>
      </c>
      <c r="K108" s="115">
        <v>60</v>
      </c>
      <c r="L108" s="41">
        <v>6834.6</v>
      </c>
      <c r="M108" s="41">
        <f>L108*$M$86/$L$86</f>
        <v>11133.742785430408</v>
      </c>
      <c r="N108" s="136">
        <f t="shared" si="29"/>
        <v>9278.1200000000008</v>
      </c>
      <c r="O108" s="271"/>
      <c r="P108" s="286"/>
      <c r="Q108" s="40"/>
    </row>
    <row r="109" spans="2:40" ht="22.5" customHeight="1" x14ac:dyDescent="0.25">
      <c r="B109" s="216"/>
      <c r="C109" s="199"/>
      <c r="D109" s="235"/>
      <c r="E109" s="235"/>
      <c r="F109" s="205"/>
      <c r="G109" s="210"/>
      <c r="H109" s="48"/>
      <c r="I109" s="108" t="s">
        <v>175</v>
      </c>
      <c r="J109" s="47" t="s">
        <v>152</v>
      </c>
      <c r="K109" s="115">
        <v>0.17199999999999999</v>
      </c>
      <c r="L109" s="41">
        <f>1224.55+281.95+788.8+2572.03+752.53</f>
        <v>5619.86</v>
      </c>
      <c r="M109" s="41">
        <f t="shared" ref="M109" si="30">L109*$M$86/$L$86</f>
        <v>9154.89944256122</v>
      </c>
      <c r="N109" s="136">
        <f t="shared" ref="N109" si="31">ROUND(M109/1.2,2)</f>
        <v>7629.08</v>
      </c>
      <c r="O109" s="271"/>
      <c r="P109" s="286"/>
      <c r="Q109" s="40"/>
    </row>
    <row r="110" spans="2:40" ht="22.5" customHeight="1" x14ac:dyDescent="0.25">
      <c r="B110" s="216"/>
      <c r="C110" s="199"/>
      <c r="D110" s="235"/>
      <c r="E110" s="235"/>
      <c r="F110" s="205"/>
      <c r="G110" s="210"/>
      <c r="H110" s="48"/>
      <c r="I110" s="108" t="s">
        <v>155</v>
      </c>
      <c r="J110" s="47" t="s">
        <v>129</v>
      </c>
      <c r="K110" s="115">
        <f>0.112*1000</f>
        <v>112</v>
      </c>
      <c r="L110" s="41">
        <v>129.25</v>
      </c>
      <c r="M110" s="41">
        <f t="shared" ref="M110:M114" si="32">L110*$M$86/$L$86</f>
        <v>210.55164238095571</v>
      </c>
      <c r="N110" s="136">
        <f t="shared" ref="N110:N114" si="33">ROUND(M110/1.2,2)</f>
        <v>175.46</v>
      </c>
      <c r="O110" s="271"/>
      <c r="P110" s="286"/>
      <c r="Q110" s="40"/>
    </row>
    <row r="111" spans="2:40" ht="22.5" customHeight="1" x14ac:dyDescent="0.25">
      <c r="B111" s="216"/>
      <c r="C111" s="199"/>
      <c r="D111" s="235"/>
      <c r="E111" s="235"/>
      <c r="F111" s="205"/>
      <c r="G111" s="210"/>
      <c r="H111" s="48"/>
      <c r="I111" s="108" t="s">
        <v>156</v>
      </c>
      <c r="J111" s="47" t="s">
        <v>129</v>
      </c>
      <c r="K111" s="115">
        <f>0.112*1000</f>
        <v>112</v>
      </c>
      <c r="L111" s="41">
        <f>1357.31</f>
        <v>1357.31</v>
      </c>
      <c r="M111" s="41">
        <f t="shared" si="32"/>
        <v>2211.0936148556675</v>
      </c>
      <c r="N111" s="136">
        <f t="shared" si="33"/>
        <v>1842.58</v>
      </c>
      <c r="O111" s="271"/>
      <c r="P111" s="286"/>
      <c r="Q111" s="40"/>
    </row>
    <row r="112" spans="2:40" ht="22.5" customHeight="1" x14ac:dyDescent="0.25">
      <c r="B112" s="216"/>
      <c r="C112" s="199"/>
      <c r="D112" s="235"/>
      <c r="E112" s="235"/>
      <c r="F112" s="205"/>
      <c r="G112" s="210"/>
      <c r="H112" s="48"/>
      <c r="I112" s="108" t="s">
        <v>179</v>
      </c>
      <c r="J112" s="47" t="s">
        <v>52</v>
      </c>
      <c r="K112" s="115">
        <f>174+58+123</f>
        <v>355</v>
      </c>
      <c r="L112" s="41">
        <f>357.64+1418.1+302.76+332.1+158.34+858.8+132.6+181.9+272</f>
        <v>4014.24</v>
      </c>
      <c r="M112" s="41">
        <f t="shared" si="32"/>
        <v>6539.3023203971197</v>
      </c>
      <c r="N112" s="136">
        <f t="shared" si="33"/>
        <v>5449.42</v>
      </c>
      <c r="O112" s="271"/>
      <c r="P112" s="286"/>
      <c r="Q112" s="40"/>
    </row>
    <row r="113" spans="2:17" ht="22.5" customHeight="1" x14ac:dyDescent="0.25">
      <c r="B113" s="216"/>
      <c r="C113" s="199"/>
      <c r="D113" s="235"/>
      <c r="E113" s="235"/>
      <c r="F113" s="205"/>
      <c r="G113" s="210"/>
      <c r="H113" s="48"/>
      <c r="I113" s="108" t="s">
        <v>178</v>
      </c>
      <c r="J113" s="47" t="s">
        <v>52</v>
      </c>
      <c r="K113" s="115">
        <f>2.88*100</f>
        <v>288</v>
      </c>
      <c r="L113" s="41">
        <f>1097.07+271.16+46.45</f>
        <v>1414.68</v>
      </c>
      <c r="M113" s="41">
        <f t="shared" si="32"/>
        <v>2304.5508506266183</v>
      </c>
      <c r="N113" s="136">
        <f t="shared" si="33"/>
        <v>1920.46</v>
      </c>
      <c r="O113" s="271"/>
      <c r="P113" s="286"/>
      <c r="Q113" s="40"/>
    </row>
    <row r="114" spans="2:17" ht="22.5" customHeight="1" x14ac:dyDescent="0.25">
      <c r="B114" s="216"/>
      <c r="C114" s="199"/>
      <c r="D114" s="235"/>
      <c r="E114" s="235"/>
      <c r="F114" s="205"/>
      <c r="G114" s="210"/>
      <c r="H114" s="48"/>
      <c r="I114" s="108" t="s">
        <v>177</v>
      </c>
      <c r="J114" s="47" t="s">
        <v>52</v>
      </c>
      <c r="K114" s="115">
        <f>100*0.792</f>
        <v>79.2</v>
      </c>
      <c r="L114" s="41">
        <f>271.16+19.8+35.6+50.43</f>
        <v>376.99000000000007</v>
      </c>
      <c r="M114" s="41">
        <f t="shared" si="32"/>
        <v>614.12660472879315</v>
      </c>
      <c r="N114" s="136">
        <f t="shared" si="33"/>
        <v>511.77</v>
      </c>
      <c r="O114" s="271"/>
      <c r="P114" s="286"/>
      <c r="Q114" s="40"/>
    </row>
    <row r="115" spans="2:17" ht="22.5" customHeight="1" x14ac:dyDescent="0.25">
      <c r="B115" s="216"/>
      <c r="C115" s="199"/>
      <c r="D115" s="235"/>
      <c r="E115" s="235"/>
      <c r="F115" s="205"/>
      <c r="G115" s="210"/>
      <c r="H115" s="48"/>
      <c r="I115" s="108" t="s">
        <v>176</v>
      </c>
      <c r="J115" s="47" t="s">
        <v>52</v>
      </c>
      <c r="K115" s="115">
        <f>100*0.1274</f>
        <v>12.740000000000002</v>
      </c>
      <c r="L115" s="41">
        <f>43.03+76.31</f>
        <v>119.34</v>
      </c>
      <c r="M115" s="41">
        <f>L115*$M$86/$L$86</f>
        <v>194.40799227654355</v>
      </c>
      <c r="N115" s="136">
        <f t="shared" si="29"/>
        <v>162.01</v>
      </c>
      <c r="O115" s="271"/>
      <c r="P115" s="286"/>
      <c r="Q115" s="40"/>
    </row>
    <row r="116" spans="2:17" ht="22.5" customHeight="1" x14ac:dyDescent="0.25">
      <c r="B116" s="216"/>
      <c r="C116" s="199"/>
      <c r="D116" s="235"/>
      <c r="E116" s="235"/>
      <c r="F116" s="205"/>
      <c r="G116" s="210"/>
      <c r="H116" s="48"/>
      <c r="I116" s="108" t="s">
        <v>125</v>
      </c>
      <c r="J116" s="47" t="s">
        <v>157</v>
      </c>
      <c r="K116" s="115">
        <v>100</v>
      </c>
      <c r="L116" s="41">
        <f>403+2710.92+2442.78</f>
        <v>5556.7000000000007</v>
      </c>
      <c r="M116" s="41">
        <f>L116*$M$86/$L$86</f>
        <v>9052.010144822103</v>
      </c>
      <c r="N116" s="136">
        <f t="shared" si="29"/>
        <v>7543.34</v>
      </c>
      <c r="O116" s="271"/>
      <c r="P116" s="286"/>
      <c r="Q116" s="40"/>
    </row>
    <row r="117" spans="2:17" ht="20.25" customHeight="1" thickBot="1" x14ac:dyDescent="0.3">
      <c r="B117" s="217"/>
      <c r="C117" s="200"/>
      <c r="D117" s="236"/>
      <c r="E117" s="236"/>
      <c r="F117" s="206"/>
      <c r="G117" s="211"/>
      <c r="H117" s="146"/>
      <c r="I117" s="8" t="s">
        <v>158</v>
      </c>
      <c r="J117" s="15" t="s">
        <v>52</v>
      </c>
      <c r="K117" s="118">
        <f>100*2.91</f>
        <v>291</v>
      </c>
      <c r="L117" s="45">
        <f>597.89</f>
        <v>597.89</v>
      </c>
      <c r="M117" s="132">
        <f>L117*$M$86/$L$86</f>
        <v>973.97850261624455</v>
      </c>
      <c r="N117" s="97">
        <f t="shared" si="25"/>
        <v>811.65</v>
      </c>
      <c r="O117" s="284"/>
      <c r="P117" s="287"/>
      <c r="Q117" s="40"/>
    </row>
    <row r="118" spans="2:17" ht="39" customHeight="1" x14ac:dyDescent="0.25">
      <c r="B118" s="292" t="s">
        <v>30</v>
      </c>
      <c r="C118" s="229" t="s">
        <v>7</v>
      </c>
      <c r="D118" s="227" t="s">
        <v>71</v>
      </c>
      <c r="E118" s="227" t="s">
        <v>83</v>
      </c>
      <c r="F118" s="294">
        <v>11</v>
      </c>
      <c r="G118" s="207" t="s">
        <v>204</v>
      </c>
      <c r="H118" s="222" t="s">
        <v>11</v>
      </c>
      <c r="I118" s="223"/>
      <c r="J118" s="223"/>
      <c r="K118" s="225"/>
      <c r="L118" s="68">
        <f>L119+L132</f>
        <v>7117.42</v>
      </c>
      <c r="M118" s="36">
        <f>M119+M132</f>
        <v>12602.34</v>
      </c>
      <c r="N118" s="93">
        <f>N119+N132</f>
        <v>10501.95</v>
      </c>
      <c r="O118" s="77">
        <f>O119+O132</f>
        <v>1043.0835360000001</v>
      </c>
      <c r="P118" s="78">
        <f>P119+P132</f>
        <v>9458.8664640000006</v>
      </c>
      <c r="Q118" s="40"/>
    </row>
    <row r="119" spans="2:17" ht="38.25" customHeight="1" x14ac:dyDescent="0.25">
      <c r="B119" s="293"/>
      <c r="C119" s="230"/>
      <c r="D119" s="228"/>
      <c r="E119" s="228"/>
      <c r="F119" s="295"/>
      <c r="G119" s="208"/>
      <c r="H119" s="296" t="s">
        <v>38</v>
      </c>
      <c r="I119" s="297"/>
      <c r="J119" s="12"/>
      <c r="K119" s="123"/>
      <c r="L119" s="69">
        <f>SUM(L120:L131)</f>
        <v>6811.78</v>
      </c>
      <c r="M119" s="158">
        <v>12235.58</v>
      </c>
      <c r="N119" s="98">
        <f>SUM(N120:N131)</f>
        <v>10196.320000000002</v>
      </c>
      <c r="O119" s="270">
        <f>N119*O5</f>
        <v>1043.0835360000001</v>
      </c>
      <c r="P119" s="273">
        <f>N119-O119</f>
        <v>9153.2364640000014</v>
      </c>
      <c r="Q119" s="40"/>
    </row>
    <row r="120" spans="2:17" ht="22.5" customHeight="1" x14ac:dyDescent="0.25">
      <c r="B120" s="293"/>
      <c r="C120" s="230"/>
      <c r="D120" s="228"/>
      <c r="E120" s="228"/>
      <c r="F120" s="295"/>
      <c r="G120" s="208"/>
      <c r="H120" s="48"/>
      <c r="I120" s="4" t="s">
        <v>210</v>
      </c>
      <c r="J120" s="12" t="s">
        <v>49</v>
      </c>
      <c r="K120" s="123">
        <v>6</v>
      </c>
      <c r="L120" s="70">
        <v>253.26</v>
      </c>
      <c r="M120" s="24">
        <f>L120*$M$119/$L$119</f>
        <v>454.91530712970763</v>
      </c>
      <c r="N120" s="96">
        <f t="shared" ref="N120:N133" si="34">ROUND(M120/1.2,2)</f>
        <v>379.1</v>
      </c>
      <c r="O120" s="272"/>
      <c r="P120" s="274"/>
      <c r="Q120" s="40"/>
    </row>
    <row r="121" spans="2:17" ht="22.5" customHeight="1" x14ac:dyDescent="0.25">
      <c r="B121" s="293"/>
      <c r="C121" s="230"/>
      <c r="D121" s="228"/>
      <c r="E121" s="228"/>
      <c r="F121" s="295"/>
      <c r="G121" s="208"/>
      <c r="H121" s="48"/>
      <c r="I121" s="4" t="s">
        <v>172</v>
      </c>
      <c r="J121" s="12" t="s">
        <v>52</v>
      </c>
      <c r="K121" s="123">
        <f>9.506*100</f>
        <v>950.6</v>
      </c>
      <c r="L121" s="70">
        <f>1022.85+1353.51+834.16+107.8+66.5</f>
        <v>3384.82</v>
      </c>
      <c r="M121" s="24">
        <f>L121*$M$119/$L$119</f>
        <v>6079.9432594123709</v>
      </c>
      <c r="N121" s="96">
        <f t="shared" si="34"/>
        <v>5066.62</v>
      </c>
      <c r="O121" s="272"/>
      <c r="P121" s="274"/>
      <c r="Q121" s="40"/>
    </row>
    <row r="122" spans="2:17" ht="22.5" customHeight="1" x14ac:dyDescent="0.25">
      <c r="B122" s="293"/>
      <c r="C122" s="230"/>
      <c r="D122" s="228"/>
      <c r="E122" s="228"/>
      <c r="F122" s="295"/>
      <c r="G122" s="208"/>
      <c r="H122" s="48"/>
      <c r="I122" s="4" t="s">
        <v>173</v>
      </c>
      <c r="J122" s="12" t="s">
        <v>52</v>
      </c>
      <c r="K122" s="123">
        <f>2.254*100</f>
        <v>225.4</v>
      </c>
      <c r="L122" s="70">
        <f>444.65+381.4</f>
        <v>826.05</v>
      </c>
      <c r="M122" s="24">
        <f t="shared" ref="M122:M123" si="35">L122*$M$119/$L$119</f>
        <v>1483.7826322928809</v>
      </c>
      <c r="N122" s="96">
        <f t="shared" ref="N122:N123" si="36">ROUND(M122/1.2,2)</f>
        <v>1236.49</v>
      </c>
      <c r="O122" s="272"/>
      <c r="P122" s="274"/>
      <c r="Q122" s="40"/>
    </row>
    <row r="123" spans="2:17" ht="22.5" customHeight="1" x14ac:dyDescent="0.25">
      <c r="B123" s="293"/>
      <c r="C123" s="230"/>
      <c r="D123" s="228"/>
      <c r="E123" s="228"/>
      <c r="F123" s="295"/>
      <c r="G123" s="208"/>
      <c r="H123" s="48"/>
      <c r="I123" s="4" t="s">
        <v>214</v>
      </c>
      <c r="J123" s="12" t="s">
        <v>52</v>
      </c>
      <c r="K123" s="123">
        <f>2.3086*100</f>
        <v>230.86</v>
      </c>
      <c r="L123" s="70">
        <f>511.47+109.48+104.62+7.25+4.32+9.45+3.12+27.37</f>
        <v>777.08000000000015</v>
      </c>
      <c r="M123" s="24">
        <f t="shared" si="35"/>
        <v>1395.8208436561372</v>
      </c>
      <c r="N123" s="96">
        <f t="shared" si="36"/>
        <v>1163.18</v>
      </c>
      <c r="O123" s="272"/>
      <c r="P123" s="274"/>
      <c r="Q123" s="40"/>
    </row>
    <row r="124" spans="2:17" ht="22.5" customHeight="1" x14ac:dyDescent="0.25">
      <c r="B124" s="293"/>
      <c r="C124" s="230"/>
      <c r="D124" s="228"/>
      <c r="E124" s="228"/>
      <c r="F124" s="295"/>
      <c r="G124" s="208"/>
      <c r="H124" s="48"/>
      <c r="I124" s="4" t="s">
        <v>212</v>
      </c>
      <c r="J124" s="12" t="s">
        <v>49</v>
      </c>
      <c r="K124" s="123">
        <v>20</v>
      </c>
      <c r="L124" s="70">
        <f>200.2</f>
        <v>200.2</v>
      </c>
      <c r="M124" s="24">
        <f t="shared" ref="M124:M131" si="37">L124*$M$119/$L$119</f>
        <v>359.60690392232283</v>
      </c>
      <c r="N124" s="96">
        <f t="shared" ref="N124" si="38">ROUND(M124/1.2,2)</f>
        <v>299.67</v>
      </c>
      <c r="O124" s="272"/>
      <c r="P124" s="274"/>
      <c r="Q124" s="40"/>
    </row>
    <row r="125" spans="2:17" ht="22.5" customHeight="1" x14ac:dyDescent="0.25">
      <c r="B125" s="293"/>
      <c r="C125" s="230"/>
      <c r="D125" s="228"/>
      <c r="E125" s="228"/>
      <c r="F125" s="295"/>
      <c r="G125" s="208"/>
      <c r="H125" s="48"/>
      <c r="I125" s="4" t="s">
        <v>213</v>
      </c>
      <c r="J125" s="12" t="s">
        <v>49</v>
      </c>
      <c r="K125" s="123">
        <f>100*0.2</f>
        <v>20</v>
      </c>
      <c r="L125" s="70">
        <v>25.5</v>
      </c>
      <c r="M125" s="24">
        <f t="shared" si="37"/>
        <v>45.804076173922233</v>
      </c>
      <c r="N125" s="96">
        <f t="shared" ref="N125" si="39">ROUND(M125/1.2,2)</f>
        <v>38.17</v>
      </c>
      <c r="O125" s="272"/>
      <c r="P125" s="274"/>
      <c r="Q125" s="40"/>
    </row>
    <row r="126" spans="2:17" ht="22.5" customHeight="1" x14ac:dyDescent="0.25">
      <c r="B126" s="293"/>
      <c r="C126" s="230"/>
      <c r="D126" s="228"/>
      <c r="E126" s="228"/>
      <c r="F126" s="295"/>
      <c r="G126" s="208"/>
      <c r="H126" s="48"/>
      <c r="I126" s="4" t="s">
        <v>131</v>
      </c>
      <c r="J126" s="12" t="s">
        <v>52</v>
      </c>
      <c r="K126" s="124">
        <f>0.3*100</f>
        <v>30</v>
      </c>
      <c r="L126" s="70">
        <f>27.2+25.39</f>
        <v>52.59</v>
      </c>
      <c r="M126" s="24">
        <f>L126*$M$119/$L$119</f>
        <v>94.464171215159624</v>
      </c>
      <c r="N126" s="96">
        <f t="shared" si="34"/>
        <v>78.72</v>
      </c>
      <c r="O126" s="272"/>
      <c r="P126" s="274"/>
      <c r="Q126" s="40"/>
    </row>
    <row r="127" spans="2:17" ht="22.5" customHeight="1" x14ac:dyDescent="0.25">
      <c r="B127" s="293"/>
      <c r="C127" s="230"/>
      <c r="D127" s="228"/>
      <c r="E127" s="228"/>
      <c r="F127" s="295"/>
      <c r="G127" s="208"/>
      <c r="H127" s="48"/>
      <c r="I127" s="4" t="s">
        <v>122</v>
      </c>
      <c r="J127" s="12" t="s">
        <v>49</v>
      </c>
      <c r="K127" s="123">
        <v>1</v>
      </c>
      <c r="L127" s="70">
        <f>16.47+5.99+63+26.34+7</f>
        <v>118.80000000000001</v>
      </c>
      <c r="M127" s="24">
        <f t="shared" si="37"/>
        <v>213.39310782203773</v>
      </c>
      <c r="N127" s="96">
        <f t="shared" si="34"/>
        <v>177.83</v>
      </c>
      <c r="O127" s="272"/>
      <c r="P127" s="274"/>
      <c r="Q127" s="40"/>
    </row>
    <row r="128" spans="2:17" ht="22.5" customHeight="1" x14ac:dyDescent="0.25">
      <c r="B128" s="293"/>
      <c r="C128" s="230"/>
      <c r="D128" s="228"/>
      <c r="E128" s="228"/>
      <c r="F128" s="295"/>
      <c r="G128" s="208"/>
      <c r="H128" s="56"/>
      <c r="I128" s="4" t="s">
        <v>174</v>
      </c>
      <c r="J128" s="12" t="s">
        <v>49</v>
      </c>
      <c r="K128" s="123">
        <v>5</v>
      </c>
      <c r="L128" s="70">
        <f>283.08+10.51+42.16+42.1+57.32+41.36+4.4+17.06</f>
        <v>497.99</v>
      </c>
      <c r="M128" s="24">
        <f t="shared" si="37"/>
        <v>894.50870171966801</v>
      </c>
      <c r="N128" s="96">
        <f t="shared" si="34"/>
        <v>745.42</v>
      </c>
      <c r="O128" s="272"/>
      <c r="P128" s="274"/>
      <c r="Q128" s="40"/>
    </row>
    <row r="129" spans="1:19" ht="22.5" customHeight="1" x14ac:dyDescent="0.25">
      <c r="B129" s="293"/>
      <c r="C129" s="230"/>
      <c r="D129" s="228"/>
      <c r="E129" s="228"/>
      <c r="F129" s="295"/>
      <c r="G129" s="208"/>
      <c r="H129" s="48"/>
      <c r="I129" s="109" t="s">
        <v>126</v>
      </c>
      <c r="J129" s="12" t="s">
        <v>52</v>
      </c>
      <c r="K129" s="123">
        <f>100*0.2</f>
        <v>20</v>
      </c>
      <c r="L129" s="70">
        <v>57.53</v>
      </c>
      <c r="M129" s="110">
        <f t="shared" si="37"/>
        <v>103.33758832493123</v>
      </c>
      <c r="N129" s="96">
        <f t="shared" si="34"/>
        <v>86.11</v>
      </c>
      <c r="O129" s="80"/>
      <c r="P129" s="79"/>
      <c r="Q129" s="40"/>
    </row>
    <row r="130" spans="1:19" ht="22.5" customHeight="1" x14ac:dyDescent="0.25">
      <c r="B130" s="293"/>
      <c r="C130" s="230"/>
      <c r="D130" s="228"/>
      <c r="E130" s="228"/>
      <c r="F130" s="295"/>
      <c r="G130" s="208"/>
      <c r="H130" s="48"/>
      <c r="I130" s="109" t="s">
        <v>124</v>
      </c>
      <c r="J130" s="12" t="s">
        <v>52</v>
      </c>
      <c r="K130" s="123">
        <f>100*0.9</f>
        <v>90</v>
      </c>
      <c r="L130" s="70">
        <f>481.67+22.74+88.2</f>
        <v>592.61</v>
      </c>
      <c r="M130" s="110">
        <f t="shared" si="37"/>
        <v>1064.4687678991395</v>
      </c>
      <c r="N130" s="96">
        <f t="shared" si="34"/>
        <v>887.06</v>
      </c>
      <c r="O130" s="80"/>
      <c r="P130" s="79"/>
      <c r="Q130" s="40"/>
    </row>
    <row r="131" spans="1:19" ht="22.5" customHeight="1" x14ac:dyDescent="0.25">
      <c r="B131" s="293"/>
      <c r="C131" s="230"/>
      <c r="D131" s="228"/>
      <c r="E131" s="228"/>
      <c r="F131" s="295"/>
      <c r="G131" s="208"/>
      <c r="H131" s="48"/>
      <c r="I131" s="109" t="s">
        <v>123</v>
      </c>
      <c r="J131" s="12" t="s">
        <v>52</v>
      </c>
      <c r="K131" s="123">
        <f>100*0.05</f>
        <v>5</v>
      </c>
      <c r="L131" s="70">
        <v>25.35</v>
      </c>
      <c r="M131" s="110">
        <f t="shared" si="37"/>
        <v>45.5346404317227</v>
      </c>
      <c r="N131" s="96">
        <f t="shared" si="34"/>
        <v>37.950000000000003</v>
      </c>
      <c r="O131" s="80"/>
      <c r="P131" s="79"/>
      <c r="Q131" s="40"/>
    </row>
    <row r="132" spans="1:19" ht="24.75" customHeight="1" x14ac:dyDescent="0.25">
      <c r="B132" s="293"/>
      <c r="C132" s="198" t="s">
        <v>46</v>
      </c>
      <c r="D132" s="234" t="s">
        <v>72</v>
      </c>
      <c r="E132" s="234" t="s">
        <v>82</v>
      </c>
      <c r="F132" s="295"/>
      <c r="G132" s="208"/>
      <c r="H132" s="218" t="s">
        <v>43</v>
      </c>
      <c r="I132" s="219"/>
      <c r="J132" s="12"/>
      <c r="K132" s="123"/>
      <c r="L132" s="85">
        <f>L133</f>
        <v>305.64</v>
      </c>
      <c r="M132" s="161">
        <v>366.76</v>
      </c>
      <c r="N132" s="98">
        <f>N133</f>
        <v>305.63</v>
      </c>
      <c r="O132" s="270">
        <v>0</v>
      </c>
      <c r="P132" s="288">
        <f>N132</f>
        <v>305.63</v>
      </c>
      <c r="Q132" s="40"/>
      <c r="R132" s="89"/>
      <c r="S132" s="89">
        <f>84+56</f>
        <v>140</v>
      </c>
    </row>
    <row r="133" spans="1:19" ht="24.75" customHeight="1" thickBot="1" x14ac:dyDescent="0.3">
      <c r="B133" s="293"/>
      <c r="C133" s="199"/>
      <c r="D133" s="235"/>
      <c r="E133" s="235"/>
      <c r="F133" s="295"/>
      <c r="G133" s="208"/>
      <c r="H133" s="86"/>
      <c r="I133" s="87" t="s">
        <v>171</v>
      </c>
      <c r="J133" s="54" t="s">
        <v>170</v>
      </c>
      <c r="K133" s="125">
        <v>1</v>
      </c>
      <c r="L133" s="88">
        <v>305.64</v>
      </c>
      <c r="M133" s="24">
        <f>L133*$M$132/$L$132</f>
        <v>366.76</v>
      </c>
      <c r="N133" s="96">
        <f t="shared" si="34"/>
        <v>305.63</v>
      </c>
      <c r="O133" s="272"/>
      <c r="P133" s="289"/>
      <c r="Q133" s="40"/>
      <c r="S133" s="1">
        <v>32.1</v>
      </c>
    </row>
    <row r="134" spans="1:19" ht="39" customHeight="1" thickBot="1" x14ac:dyDescent="0.35">
      <c r="B134" s="290" t="s">
        <v>53</v>
      </c>
      <c r="C134" s="291"/>
      <c r="D134" s="291"/>
      <c r="E134" s="291"/>
      <c r="F134" s="291"/>
      <c r="G134" s="291"/>
      <c r="H134" s="291"/>
      <c r="I134" s="291"/>
      <c r="J134" s="291"/>
      <c r="K134" s="291"/>
      <c r="L134" s="291"/>
      <c r="M134" s="126">
        <f>M135+M136+M137+M138</f>
        <v>406421.05015519995</v>
      </c>
      <c r="N134" s="66">
        <f>N135+N136+N137+N138</f>
        <v>338684.22179600003</v>
      </c>
      <c r="O134" s="59" t="e">
        <f>O118+O85+O82+O69+O64+O58+O52+O39+O31+O15+O7</f>
        <v>#REF!</v>
      </c>
      <c r="P134" s="59" t="e">
        <f>P118+P85+P82+P69+P64+P58+P52+P39+P31+P15+P7</f>
        <v>#REF!</v>
      </c>
      <c r="Q134" s="40"/>
      <c r="R134" s="40"/>
    </row>
    <row r="135" spans="1:19" s="57" customFormat="1" ht="39" customHeight="1" thickBot="1" x14ac:dyDescent="0.4">
      <c r="B135" s="201" t="s">
        <v>54</v>
      </c>
      <c r="C135" s="202"/>
      <c r="D135" s="202"/>
      <c r="E135" s="202"/>
      <c r="F135" s="202"/>
      <c r="G135" s="202"/>
      <c r="H135" s="202"/>
      <c r="I135" s="202"/>
      <c r="J135" s="202"/>
      <c r="K135" s="202"/>
      <c r="L135" s="202"/>
      <c r="M135" s="58">
        <f>M8+M19+M28+M32+M40+M53+M59+M65+M70+M77+M83+M86+M119+M16</f>
        <v>316162.3</v>
      </c>
      <c r="N135" s="58">
        <f>N8+N19+N28+N32+N40+N53+N59+N65+N70+N77+N83+N86+N119+N16</f>
        <v>263468.60000000003</v>
      </c>
      <c r="O135" s="60" t="e">
        <f>O119+O86+O83+O70+O65+O59+O53+O40+O32+O19+O8</f>
        <v>#REF!</v>
      </c>
      <c r="P135" s="60" t="e">
        <f>P119+P86+P83+P70+P65+P59+P53+P40+P32+P19+P8</f>
        <v>#REF!</v>
      </c>
      <c r="Q135" s="40"/>
      <c r="R135" s="67"/>
    </row>
    <row r="136" spans="1:19" s="57" customFormat="1" ht="39" customHeight="1" thickBot="1" x14ac:dyDescent="0.4">
      <c r="B136" s="201" t="s">
        <v>55</v>
      </c>
      <c r="C136" s="202"/>
      <c r="D136" s="202"/>
      <c r="E136" s="202"/>
      <c r="F136" s="202"/>
      <c r="G136" s="202"/>
      <c r="H136" s="202"/>
      <c r="I136" s="202"/>
      <c r="J136" s="202"/>
      <c r="K136" s="202"/>
      <c r="L136" s="202"/>
      <c r="M136" s="103">
        <f>M132+M80+M56+M49</f>
        <v>58411.479999999996</v>
      </c>
      <c r="N136" s="104">
        <f>N132+N80+N56+N49</f>
        <v>48676.229999999996</v>
      </c>
      <c r="O136" s="60">
        <f>O132+O80+O56+O49</f>
        <v>0</v>
      </c>
      <c r="P136" s="60">
        <f>P132+P80+P56+P49</f>
        <v>48676.229999999996</v>
      </c>
      <c r="Q136" s="40"/>
    </row>
    <row r="137" spans="1:19" s="57" customFormat="1" ht="39" customHeight="1" thickBot="1" x14ac:dyDescent="0.4">
      <c r="B137" s="201" t="s">
        <v>106</v>
      </c>
      <c r="C137" s="202"/>
      <c r="D137" s="202"/>
      <c r="E137" s="202"/>
      <c r="F137" s="202"/>
      <c r="G137" s="202"/>
      <c r="H137" s="202"/>
      <c r="I137" s="202"/>
      <c r="J137" s="202"/>
      <c r="K137" s="202"/>
      <c r="L137" s="202"/>
      <c r="M137" s="101">
        <f>M141</f>
        <v>25356.182155199996</v>
      </c>
      <c r="N137" s="102">
        <f>N141</f>
        <v>21130.151795999998</v>
      </c>
      <c r="O137" s="60">
        <f>O133+O81+O57+O50</f>
        <v>0</v>
      </c>
      <c r="P137" s="60">
        <f>P133+P81+P57+P50</f>
        <v>0</v>
      </c>
      <c r="Q137" s="40"/>
    </row>
    <row r="138" spans="1:19" s="57" customFormat="1" ht="39" customHeight="1" thickBot="1" x14ac:dyDescent="0.4">
      <c r="B138" s="201" t="s">
        <v>107</v>
      </c>
      <c r="C138" s="202"/>
      <c r="D138" s="202"/>
      <c r="E138" s="202"/>
      <c r="F138" s="202"/>
      <c r="G138" s="202"/>
      <c r="H138" s="202"/>
      <c r="I138" s="202"/>
      <c r="J138" s="202"/>
      <c r="K138" s="202"/>
      <c r="L138" s="202"/>
      <c r="M138" s="105">
        <f>5409.24*1.2</f>
        <v>6491.0879999999997</v>
      </c>
      <c r="N138" s="106">
        <f>M138/1.2</f>
        <v>5409.24</v>
      </c>
      <c r="O138" s="60" t="e">
        <f>#REF!+#REF!+O58+O51</f>
        <v>#REF!</v>
      </c>
      <c r="P138" s="60" t="e">
        <f>#REF!+#REF!+P58+P51</f>
        <v>#REF!</v>
      </c>
      <c r="Q138" s="40"/>
    </row>
    <row r="140" spans="1:19" x14ac:dyDescent="0.3">
      <c r="M140" s="46"/>
      <c r="N140" s="46"/>
    </row>
    <row r="141" spans="1:19" ht="29.25" customHeight="1" x14ac:dyDescent="0.25">
      <c r="A141" s="147"/>
      <c r="B141" s="264" t="s">
        <v>168</v>
      </c>
      <c r="C141" s="264"/>
      <c r="D141" s="264"/>
      <c r="E141" s="264"/>
      <c r="F141" s="264">
        <v>8</v>
      </c>
      <c r="G141" s="264" t="s">
        <v>25</v>
      </c>
      <c r="H141" s="264"/>
      <c r="I141" s="91" t="s">
        <v>102</v>
      </c>
      <c r="J141" s="47"/>
      <c r="K141" s="115"/>
      <c r="L141" s="42">
        <f>SUM(L142:L152)</f>
        <v>19124.04</v>
      </c>
      <c r="M141" s="99">
        <f>SUM(M142:M152)</f>
        <v>25356.182155199996</v>
      </c>
      <c r="N141" s="99">
        <f>SUM(N142:N152)</f>
        <v>21130.151795999998</v>
      </c>
    </row>
    <row r="142" spans="1:19" ht="29.25" customHeight="1" x14ac:dyDescent="0.3">
      <c r="A142" s="147"/>
      <c r="B142" s="264"/>
      <c r="C142" s="264"/>
      <c r="D142" s="264"/>
      <c r="E142" s="264"/>
      <c r="F142" s="264"/>
      <c r="G142" s="264"/>
      <c r="H142" s="264"/>
      <c r="I142" s="100" t="s">
        <v>90</v>
      </c>
      <c r="J142" s="12" t="s">
        <v>101</v>
      </c>
      <c r="K142" s="115">
        <v>1</v>
      </c>
      <c r="L142" s="24">
        <v>5170.42</v>
      </c>
      <c r="M142" s="41">
        <f>L142*1.2*1.1049</f>
        <v>6855.3564695999994</v>
      </c>
      <c r="N142" s="23">
        <f>M142/1.2</f>
        <v>5712.7970580000001</v>
      </c>
    </row>
    <row r="143" spans="1:19" ht="29.25" customHeight="1" x14ac:dyDescent="0.3">
      <c r="A143" s="147"/>
      <c r="B143" s="264"/>
      <c r="C143" s="264"/>
      <c r="D143" s="264"/>
      <c r="E143" s="264"/>
      <c r="F143" s="264"/>
      <c r="G143" s="264"/>
      <c r="H143" s="264"/>
      <c r="I143" s="100" t="s">
        <v>91</v>
      </c>
      <c r="J143" s="12" t="s">
        <v>101</v>
      </c>
      <c r="K143" s="115">
        <v>1</v>
      </c>
      <c r="L143" s="24">
        <v>1054.44</v>
      </c>
      <c r="M143" s="41">
        <f t="shared" ref="M143:M152" si="40">L143*1.2*1.1049</f>
        <v>1398.0609072</v>
      </c>
      <c r="N143" s="23">
        <f t="shared" ref="N143:N152" si="41">M143/1.2</f>
        <v>1165.0507560000001</v>
      </c>
    </row>
    <row r="144" spans="1:19" ht="29.25" customHeight="1" x14ac:dyDescent="0.3">
      <c r="A144" s="147"/>
      <c r="B144" s="264"/>
      <c r="C144" s="264"/>
      <c r="D144" s="264"/>
      <c r="E144" s="264"/>
      <c r="F144" s="264"/>
      <c r="G144" s="264"/>
      <c r="H144" s="264"/>
      <c r="I144" s="100" t="s">
        <v>92</v>
      </c>
      <c r="J144" s="12" t="s">
        <v>101</v>
      </c>
      <c r="K144" s="115">
        <v>1</v>
      </c>
      <c r="L144" s="24">
        <v>841.03</v>
      </c>
      <c r="M144" s="41">
        <f t="shared" si="40"/>
        <v>1115.1048563999998</v>
      </c>
      <c r="N144" s="23">
        <f t="shared" si="41"/>
        <v>929.2540469999999</v>
      </c>
    </row>
    <row r="145" spans="1:14" ht="29.25" customHeight="1" x14ac:dyDescent="0.3">
      <c r="A145" s="147"/>
      <c r="B145" s="264"/>
      <c r="C145" s="264"/>
      <c r="D145" s="264"/>
      <c r="E145" s="264"/>
      <c r="F145" s="264"/>
      <c r="G145" s="264"/>
      <c r="H145" s="264"/>
      <c r="I145" s="100" t="s">
        <v>93</v>
      </c>
      <c r="J145" s="12" t="s">
        <v>101</v>
      </c>
      <c r="K145" s="115">
        <v>1</v>
      </c>
      <c r="L145" s="24">
        <v>1151.0899999999999</v>
      </c>
      <c r="M145" s="41">
        <f t="shared" si="40"/>
        <v>1526.2072091999996</v>
      </c>
      <c r="N145" s="23">
        <f t="shared" si="41"/>
        <v>1271.8393409999996</v>
      </c>
    </row>
    <row r="146" spans="1:14" ht="29.25" customHeight="1" x14ac:dyDescent="0.3">
      <c r="A146" s="147"/>
      <c r="B146" s="264"/>
      <c r="C146" s="264"/>
      <c r="D146" s="264"/>
      <c r="E146" s="264"/>
      <c r="F146" s="264"/>
      <c r="G146" s="264"/>
      <c r="H146" s="264"/>
      <c r="I146" s="100" t="s">
        <v>94</v>
      </c>
      <c r="J146" s="12" t="s">
        <v>101</v>
      </c>
      <c r="K146" s="115">
        <v>1</v>
      </c>
      <c r="L146" s="24">
        <v>2137.14</v>
      </c>
      <c r="M146" s="41">
        <f t="shared" si="40"/>
        <v>2833.5911831999997</v>
      </c>
      <c r="N146" s="23">
        <f t="shared" si="41"/>
        <v>2361.3259859999998</v>
      </c>
    </row>
    <row r="147" spans="1:14" ht="29.25" customHeight="1" x14ac:dyDescent="0.3">
      <c r="A147" s="147"/>
      <c r="B147" s="264"/>
      <c r="C147" s="264"/>
      <c r="D147" s="264"/>
      <c r="E147" s="264"/>
      <c r="F147" s="264"/>
      <c r="G147" s="264"/>
      <c r="H147" s="264"/>
      <c r="I147" s="100" t="s">
        <v>95</v>
      </c>
      <c r="J147" s="12" t="s">
        <v>101</v>
      </c>
      <c r="K147" s="115">
        <v>1</v>
      </c>
      <c r="L147" s="24">
        <v>1216.6300000000001</v>
      </c>
      <c r="M147" s="41">
        <f t="shared" si="40"/>
        <v>1613.1053844</v>
      </c>
      <c r="N147" s="23">
        <f t="shared" si="41"/>
        <v>1344.2544870000002</v>
      </c>
    </row>
    <row r="148" spans="1:14" ht="29.25" customHeight="1" x14ac:dyDescent="0.3">
      <c r="A148" s="147"/>
      <c r="B148" s="264"/>
      <c r="C148" s="264"/>
      <c r="D148" s="264"/>
      <c r="E148" s="264"/>
      <c r="F148" s="264"/>
      <c r="G148" s="264"/>
      <c r="H148" s="264"/>
      <c r="I148" s="100" t="s">
        <v>96</v>
      </c>
      <c r="J148" s="12" t="s">
        <v>101</v>
      </c>
      <c r="K148" s="115">
        <v>1</v>
      </c>
      <c r="L148" s="24">
        <v>1151.0899999999999</v>
      </c>
      <c r="M148" s="41">
        <f t="shared" si="40"/>
        <v>1526.2072091999996</v>
      </c>
      <c r="N148" s="23">
        <f t="shared" si="41"/>
        <v>1271.8393409999996</v>
      </c>
    </row>
    <row r="149" spans="1:14" ht="29.25" customHeight="1" x14ac:dyDescent="0.3">
      <c r="A149" s="147"/>
      <c r="B149" s="264"/>
      <c r="C149" s="264"/>
      <c r="D149" s="264"/>
      <c r="E149" s="264"/>
      <c r="F149" s="264"/>
      <c r="G149" s="264"/>
      <c r="H149" s="264"/>
      <c r="I149" s="100" t="s">
        <v>97</v>
      </c>
      <c r="J149" s="12" t="s">
        <v>101</v>
      </c>
      <c r="K149" s="115">
        <v>1</v>
      </c>
      <c r="L149" s="24">
        <v>1216.6300000000001</v>
      </c>
      <c r="M149" s="41">
        <f t="shared" si="40"/>
        <v>1613.1053844</v>
      </c>
      <c r="N149" s="23">
        <f t="shared" si="41"/>
        <v>1344.2544870000002</v>
      </c>
    </row>
    <row r="150" spans="1:14" ht="29.25" customHeight="1" x14ac:dyDescent="0.3">
      <c r="A150" s="147"/>
      <c r="B150" s="264"/>
      <c r="C150" s="264"/>
      <c r="D150" s="264"/>
      <c r="E150" s="264"/>
      <c r="F150" s="264"/>
      <c r="G150" s="264"/>
      <c r="H150" s="264"/>
      <c r="I150" s="100" t="s">
        <v>98</v>
      </c>
      <c r="J150" s="12" t="s">
        <v>49</v>
      </c>
      <c r="K150" s="115">
        <v>1</v>
      </c>
      <c r="L150" s="24">
        <v>4691.41</v>
      </c>
      <c r="M150" s="41">
        <f t="shared" si="40"/>
        <v>6220.2466907999997</v>
      </c>
      <c r="N150" s="23">
        <f t="shared" si="41"/>
        <v>5183.5389089999999</v>
      </c>
    </row>
    <row r="151" spans="1:14" ht="29.25" customHeight="1" x14ac:dyDescent="0.3">
      <c r="A151" s="147"/>
      <c r="B151" s="264"/>
      <c r="C151" s="264"/>
      <c r="D151" s="264"/>
      <c r="E151" s="264"/>
      <c r="F151" s="264"/>
      <c r="G151" s="264"/>
      <c r="H151" s="264"/>
      <c r="I151" s="100" t="s">
        <v>99</v>
      </c>
      <c r="J151" s="12" t="s">
        <v>49</v>
      </c>
      <c r="K151" s="115">
        <v>6</v>
      </c>
      <c r="L151" s="24">
        <v>226.92</v>
      </c>
      <c r="M151" s="41">
        <f t="shared" si="40"/>
        <v>300.86868959999998</v>
      </c>
      <c r="N151" s="23">
        <f t="shared" si="41"/>
        <v>250.72390799999999</v>
      </c>
    </row>
    <row r="152" spans="1:14" ht="29.25" customHeight="1" x14ac:dyDescent="0.3">
      <c r="A152" s="147"/>
      <c r="B152" s="264"/>
      <c r="C152" s="264"/>
      <c r="D152" s="264"/>
      <c r="E152" s="264"/>
      <c r="F152" s="264"/>
      <c r="G152" s="264"/>
      <c r="H152" s="264"/>
      <c r="I152" s="100" t="s">
        <v>100</v>
      </c>
      <c r="J152" s="12" t="s">
        <v>49</v>
      </c>
      <c r="K152" s="115">
        <v>2</v>
      </c>
      <c r="L152" s="24">
        <v>267.24</v>
      </c>
      <c r="M152" s="41">
        <f t="shared" si="40"/>
        <v>354.32817119999999</v>
      </c>
      <c r="N152" s="23">
        <f t="shared" si="41"/>
        <v>295.27347600000002</v>
      </c>
    </row>
    <row r="155" spans="1:14" x14ac:dyDescent="0.3">
      <c r="B155" s="61" t="s">
        <v>185</v>
      </c>
    </row>
  </sheetData>
  <mergeCells count="152">
    <mergeCell ref="B141:B152"/>
    <mergeCell ref="C141:C152"/>
    <mergeCell ref="D141:D152"/>
    <mergeCell ref="E141:E152"/>
    <mergeCell ref="F141:F152"/>
    <mergeCell ref="G141:G152"/>
    <mergeCell ref="H141:H152"/>
    <mergeCell ref="O132:O133"/>
    <mergeCell ref="P132:P133"/>
    <mergeCell ref="B134:L134"/>
    <mergeCell ref="C132:C133"/>
    <mergeCell ref="B118:B133"/>
    <mergeCell ref="F118:F133"/>
    <mergeCell ref="D132:D133"/>
    <mergeCell ref="E132:E133"/>
    <mergeCell ref="B138:L138"/>
    <mergeCell ref="H119:I119"/>
    <mergeCell ref="B137:L137"/>
    <mergeCell ref="O119:O128"/>
    <mergeCell ref="P119:P128"/>
    <mergeCell ref="O86:O117"/>
    <mergeCell ref="P86:P117"/>
    <mergeCell ref="F82:F84"/>
    <mergeCell ref="H80:I80"/>
    <mergeCell ref="D69:D79"/>
    <mergeCell ref="E69:E79"/>
    <mergeCell ref="D80:D81"/>
    <mergeCell ref="E80:E81"/>
    <mergeCell ref="H83:I83"/>
    <mergeCell ref="H69:K69"/>
    <mergeCell ref="O80:O81"/>
    <mergeCell ref="P80:P81"/>
    <mergeCell ref="O83:O84"/>
    <mergeCell ref="P83:P84"/>
    <mergeCell ref="E56:E57"/>
    <mergeCell ref="G39:G51"/>
    <mergeCell ref="O53:O55"/>
    <mergeCell ref="O59:O63"/>
    <mergeCell ref="P59:P63"/>
    <mergeCell ref="O65:O68"/>
    <mergeCell ref="P65:P68"/>
    <mergeCell ref="O70:O79"/>
    <mergeCell ref="O8:O14"/>
    <mergeCell ref="P8:P14"/>
    <mergeCell ref="O19:O30"/>
    <mergeCell ref="P19:P30"/>
    <mergeCell ref="O32:O38"/>
    <mergeCell ref="P32:P38"/>
    <mergeCell ref="O40:O48"/>
    <mergeCell ref="P40:P48"/>
    <mergeCell ref="O49:O51"/>
    <mergeCell ref="P49:P51"/>
    <mergeCell ref="P53:P55"/>
    <mergeCell ref="P70:P79"/>
    <mergeCell ref="O56:O57"/>
    <mergeCell ref="P56:P57"/>
    <mergeCell ref="B7:B14"/>
    <mergeCell ref="H28:I28"/>
    <mergeCell ref="D7:D14"/>
    <mergeCell ref="E7:E14"/>
    <mergeCell ref="D15:D30"/>
    <mergeCell ref="E15:E30"/>
    <mergeCell ref="I7:K7"/>
    <mergeCell ref="H8:I8"/>
    <mergeCell ref="D58:D63"/>
    <mergeCell ref="E58:E63"/>
    <mergeCell ref="B31:B38"/>
    <mergeCell ref="B39:B51"/>
    <mergeCell ref="E52:E55"/>
    <mergeCell ref="F7:F14"/>
    <mergeCell ref="G15:G30"/>
    <mergeCell ref="G52:G57"/>
    <mergeCell ref="F52:F57"/>
    <mergeCell ref="C52:C55"/>
    <mergeCell ref="C56:C57"/>
    <mergeCell ref="B52:B57"/>
    <mergeCell ref="H16:I16"/>
    <mergeCell ref="D31:D38"/>
    <mergeCell ref="E31:E38"/>
    <mergeCell ref="D56:D57"/>
    <mergeCell ref="M5:N5"/>
    <mergeCell ref="G7:G14"/>
    <mergeCell ref="G64:G68"/>
    <mergeCell ref="H56:I56"/>
    <mergeCell ref="H65:I65"/>
    <mergeCell ref="H59:I59"/>
    <mergeCell ref="H58:K58"/>
    <mergeCell ref="G58:G63"/>
    <mergeCell ref="C7:C14"/>
    <mergeCell ref="H49:I49"/>
    <mergeCell ref="H39:K39"/>
    <mergeCell ref="G31:G38"/>
    <mergeCell ref="F31:F38"/>
    <mergeCell ref="C39:C48"/>
    <mergeCell ref="C49:C51"/>
    <mergeCell ref="D39:D48"/>
    <mergeCell ref="F39:F51"/>
    <mergeCell ref="F58:F63"/>
    <mergeCell ref="E39:E48"/>
    <mergeCell ref="D49:D51"/>
    <mergeCell ref="E49:E51"/>
    <mergeCell ref="D52:D55"/>
    <mergeCell ref="D64:D68"/>
    <mergeCell ref="E64:E68"/>
    <mergeCell ref="B3:N3"/>
    <mergeCell ref="B4:N4"/>
    <mergeCell ref="C31:C38"/>
    <mergeCell ref="B15:B30"/>
    <mergeCell ref="B82:B84"/>
    <mergeCell ref="B58:B63"/>
    <mergeCell ref="H19:I19"/>
    <mergeCell ref="H15:K15"/>
    <mergeCell ref="H31:K31"/>
    <mergeCell ref="H32:I32"/>
    <mergeCell ref="H40:I40"/>
    <mergeCell ref="H53:I53"/>
    <mergeCell ref="H52:K52"/>
    <mergeCell ref="C15:C30"/>
    <mergeCell ref="F15:F30"/>
    <mergeCell ref="H64:K64"/>
    <mergeCell ref="H82:K82"/>
    <mergeCell ref="B64:B68"/>
    <mergeCell ref="C64:C68"/>
    <mergeCell ref="C82:C84"/>
    <mergeCell ref="C58:C63"/>
    <mergeCell ref="B69:B81"/>
    <mergeCell ref="F69:F81"/>
    <mergeCell ref="G69:G81"/>
    <mergeCell ref="C85:C117"/>
    <mergeCell ref="B135:L135"/>
    <mergeCell ref="B136:L136"/>
    <mergeCell ref="F85:F117"/>
    <mergeCell ref="G118:G133"/>
    <mergeCell ref="G82:G84"/>
    <mergeCell ref="F64:F68"/>
    <mergeCell ref="B85:B117"/>
    <mergeCell ref="H132:I132"/>
    <mergeCell ref="H86:I86"/>
    <mergeCell ref="H85:K85"/>
    <mergeCell ref="H118:K118"/>
    <mergeCell ref="G85:G117"/>
    <mergeCell ref="E118:E131"/>
    <mergeCell ref="D118:D131"/>
    <mergeCell ref="C118:C131"/>
    <mergeCell ref="C69:C79"/>
    <mergeCell ref="C80:C81"/>
    <mergeCell ref="D85:D117"/>
    <mergeCell ref="E85:E117"/>
    <mergeCell ref="H70:I70"/>
    <mergeCell ref="H77:I77"/>
    <mergeCell ref="D82:D84"/>
    <mergeCell ref="E82:E84"/>
  </mergeCells>
  <pageMargins left="0" right="0" top="0.19685039370078741" bottom="0.19685039370078741" header="0.59055118110236227" footer="0.31496062992125984"/>
  <pageSetup paperSize="8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showGridLines="0" showZeros="0" tabSelected="1" view="pageBreakPreview" zoomScale="91" zoomScaleNormal="100" zoomScaleSheetLayoutView="91" workbookViewId="0">
      <selection activeCell="C11" sqref="C11"/>
    </sheetView>
  </sheetViews>
  <sheetFormatPr defaultRowHeight="12.75" x14ac:dyDescent="0.2"/>
  <cols>
    <col min="1" max="1" width="5.7109375" style="163" customWidth="1"/>
    <col min="2" max="2" width="23.85546875" style="163" customWidth="1"/>
    <col min="3" max="3" width="27" style="163" customWidth="1"/>
    <col min="4" max="4" width="22.42578125" style="163" customWidth="1"/>
    <col min="5" max="5" width="23.140625" style="163" customWidth="1"/>
    <col min="6" max="7" width="21" style="163" customWidth="1"/>
    <col min="8" max="8" width="6.28515625" style="162" customWidth="1"/>
    <col min="9" max="9" width="9" style="162" customWidth="1"/>
    <col min="10" max="10" width="9.7109375" style="162" customWidth="1"/>
    <col min="11" max="11" width="5.28515625" style="162" customWidth="1"/>
    <col min="12" max="13" width="4.42578125" style="162" customWidth="1"/>
    <col min="14" max="14" width="9.140625" style="162"/>
    <col min="15" max="15" width="12.7109375" style="162" bestFit="1" customWidth="1"/>
    <col min="16" max="16384" width="9.140625" style="162"/>
  </cols>
  <sheetData>
    <row r="1" spans="1:7" ht="18" customHeight="1" x14ac:dyDescent="0.2">
      <c r="F1" s="180"/>
      <c r="G1" s="183" t="s">
        <v>228</v>
      </c>
    </row>
    <row r="2" spans="1:7" ht="15.75" customHeight="1" x14ac:dyDescent="0.2">
      <c r="F2" s="182"/>
      <c r="G2" s="183" t="s">
        <v>215</v>
      </c>
    </row>
    <row r="3" spans="1:7" ht="15" customHeight="1" x14ac:dyDescent="0.2">
      <c r="F3" s="181"/>
      <c r="G3" s="183" t="s">
        <v>234</v>
      </c>
    </row>
    <row r="4" spans="1:7" ht="15.75" customHeight="1" x14ac:dyDescent="0.2">
      <c r="F4" s="302"/>
      <c r="G4" s="302"/>
    </row>
    <row r="5" spans="1:7" ht="20.25" customHeight="1" x14ac:dyDescent="0.2">
      <c r="A5" s="304" t="s">
        <v>233</v>
      </c>
      <c r="B5" s="304"/>
      <c r="C5" s="304"/>
      <c r="D5" s="304"/>
      <c r="E5" s="304"/>
      <c r="F5" s="304"/>
      <c r="G5" s="304"/>
    </row>
    <row r="6" spans="1:7" ht="59.25" customHeight="1" x14ac:dyDescent="0.2">
      <c r="A6" s="305" t="s">
        <v>235</v>
      </c>
      <c r="B6" s="305"/>
      <c r="C6" s="305"/>
      <c r="D6" s="305"/>
      <c r="E6" s="305"/>
      <c r="F6" s="305"/>
      <c r="G6" s="305"/>
    </row>
    <row r="7" spans="1:7" ht="24" customHeight="1" x14ac:dyDescent="0.2">
      <c r="A7" s="306" t="s">
        <v>227</v>
      </c>
      <c r="B7" s="306" t="s">
        <v>226</v>
      </c>
      <c r="C7" s="306" t="s">
        <v>225</v>
      </c>
      <c r="D7" s="306" t="s">
        <v>224</v>
      </c>
      <c r="E7" s="303" t="s">
        <v>223</v>
      </c>
      <c r="F7" s="303"/>
      <c r="G7" s="303"/>
    </row>
    <row r="8" spans="1:7" ht="24" customHeight="1" x14ac:dyDescent="0.2">
      <c r="A8" s="306"/>
      <c r="B8" s="306"/>
      <c r="C8" s="306"/>
      <c r="D8" s="306"/>
      <c r="E8" s="306" t="s">
        <v>222</v>
      </c>
      <c r="F8" s="303" t="s">
        <v>221</v>
      </c>
      <c r="G8" s="303"/>
    </row>
    <row r="9" spans="1:7" ht="66" customHeight="1" x14ac:dyDescent="0.2">
      <c r="A9" s="306"/>
      <c r="B9" s="306"/>
      <c r="C9" s="306"/>
      <c r="D9" s="306"/>
      <c r="E9" s="306"/>
      <c r="F9" s="189" t="s">
        <v>220</v>
      </c>
      <c r="G9" s="189" t="s">
        <v>219</v>
      </c>
    </row>
    <row r="10" spans="1:7" ht="24.75" customHeight="1" x14ac:dyDescent="0.2">
      <c r="A10" s="190">
        <v>1</v>
      </c>
      <c r="B10" s="190">
        <v>2</v>
      </c>
      <c r="C10" s="190">
        <v>3</v>
      </c>
      <c r="D10" s="190">
        <v>4</v>
      </c>
      <c r="E10" s="190">
        <v>5</v>
      </c>
      <c r="F10" s="189">
        <v>6</v>
      </c>
      <c r="G10" s="189">
        <v>7</v>
      </c>
    </row>
    <row r="11" spans="1:7" ht="24" customHeight="1" x14ac:dyDescent="0.2">
      <c r="A11" s="191">
        <v>1</v>
      </c>
      <c r="B11" s="192">
        <v>45778</v>
      </c>
      <c r="C11" s="177"/>
      <c r="D11" s="177"/>
      <c r="E11" s="177"/>
      <c r="F11" s="177"/>
      <c r="G11" s="177"/>
    </row>
    <row r="12" spans="1:7" ht="24" customHeight="1" x14ac:dyDescent="0.2">
      <c r="A12" s="191">
        <v>2</v>
      </c>
      <c r="B12" s="192">
        <v>45809</v>
      </c>
      <c r="C12" s="177"/>
      <c r="D12" s="177"/>
      <c r="E12" s="177"/>
      <c r="F12" s="177"/>
      <c r="G12" s="177"/>
    </row>
    <row r="13" spans="1:7" ht="24" customHeight="1" x14ac:dyDescent="0.2">
      <c r="A13" s="191">
        <v>3</v>
      </c>
      <c r="B13" s="192">
        <v>45839</v>
      </c>
      <c r="C13" s="177"/>
      <c r="D13" s="177"/>
      <c r="E13" s="177"/>
      <c r="F13" s="177"/>
      <c r="G13" s="177"/>
    </row>
    <row r="14" spans="1:7" ht="24" customHeight="1" x14ac:dyDescent="0.2">
      <c r="A14" s="191">
        <v>4</v>
      </c>
      <c r="B14" s="192">
        <v>45870</v>
      </c>
      <c r="C14" s="177"/>
      <c r="D14" s="177"/>
      <c r="E14" s="177"/>
      <c r="F14" s="177"/>
      <c r="G14" s="177"/>
    </row>
    <row r="15" spans="1:7" ht="24" customHeight="1" x14ac:dyDescent="0.2">
      <c r="A15" s="191">
        <v>5</v>
      </c>
      <c r="B15" s="192">
        <v>45901</v>
      </c>
      <c r="C15" s="177"/>
      <c r="D15" s="193"/>
      <c r="E15" s="177"/>
      <c r="F15" s="177"/>
      <c r="G15" s="177">
        <f t="shared" ref="G15:G16" si="0">C14</f>
        <v>0</v>
      </c>
    </row>
    <row r="16" spans="1:7" ht="24" customHeight="1" x14ac:dyDescent="0.2">
      <c r="A16" s="191">
        <v>6</v>
      </c>
      <c r="B16" s="192">
        <v>45931</v>
      </c>
      <c r="C16" s="179"/>
      <c r="D16" s="178"/>
      <c r="E16" s="177"/>
      <c r="F16" s="177"/>
      <c r="G16" s="177">
        <f t="shared" si="0"/>
        <v>0</v>
      </c>
    </row>
    <row r="17" spans="1:7" ht="42.75" customHeight="1" x14ac:dyDescent="0.2">
      <c r="A17" s="194"/>
      <c r="B17" s="195" t="s">
        <v>11</v>
      </c>
      <c r="C17" s="196" t="e">
        <f>#REF!+C11+C12+C13+C14+C15+C16+#REF!</f>
        <v>#REF!</v>
      </c>
      <c r="D17" s="196" t="e">
        <f>#REF!+D11+D12+D13+D14+D15+D16+#REF!</f>
        <v>#REF!</v>
      </c>
      <c r="E17" s="177"/>
      <c r="F17" s="177"/>
      <c r="G17" s="177" t="e">
        <f>#REF!+G11+G12+G13+G14+G15+G16+#REF!</f>
        <v>#REF!</v>
      </c>
    </row>
    <row r="18" spans="1:7" ht="15.75" x14ac:dyDescent="0.2">
      <c r="A18" s="299"/>
      <c r="B18" s="300"/>
      <c r="C18" s="300"/>
      <c r="D18" s="176"/>
      <c r="E18" s="175"/>
      <c r="F18" s="299"/>
      <c r="G18" s="300"/>
    </row>
    <row r="19" spans="1:7" ht="19.5" x14ac:dyDescent="0.3">
      <c r="B19" s="184" t="s">
        <v>216</v>
      </c>
      <c r="C19" s="185"/>
      <c r="D19" s="185"/>
      <c r="E19" s="184" t="s">
        <v>217</v>
      </c>
      <c r="F19" s="185"/>
      <c r="G19" s="185"/>
    </row>
    <row r="20" spans="1:7" ht="19.5" x14ac:dyDescent="0.3">
      <c r="B20" s="184"/>
      <c r="C20" s="185"/>
      <c r="D20" s="185"/>
      <c r="E20" s="184" t="s">
        <v>229</v>
      </c>
      <c r="F20" s="185"/>
      <c r="G20" s="185"/>
    </row>
    <row r="21" spans="1:7" ht="19.5" x14ac:dyDescent="0.3">
      <c r="B21" s="184" t="s">
        <v>231</v>
      </c>
      <c r="C21" s="185"/>
      <c r="D21" s="185"/>
      <c r="E21" s="184" t="s">
        <v>230</v>
      </c>
      <c r="F21" s="185"/>
      <c r="G21" s="185"/>
    </row>
    <row r="22" spans="1:7" ht="20.25" customHeight="1" x14ac:dyDescent="0.3">
      <c r="A22" s="173"/>
      <c r="B22" s="186" t="s">
        <v>236</v>
      </c>
      <c r="C22" s="185"/>
      <c r="D22" s="185"/>
      <c r="E22" s="186" t="s">
        <v>232</v>
      </c>
      <c r="F22" s="185"/>
      <c r="G22" s="185"/>
    </row>
    <row r="23" spans="1:7" ht="39.75" customHeight="1" x14ac:dyDescent="0.3">
      <c r="A23" s="173"/>
      <c r="B23" s="187" t="s">
        <v>218</v>
      </c>
      <c r="C23" s="185"/>
      <c r="D23" s="185"/>
      <c r="E23" s="187" t="s">
        <v>218</v>
      </c>
      <c r="F23" s="185"/>
      <c r="G23" s="185"/>
    </row>
    <row r="24" spans="1:7" ht="39.75" customHeight="1" x14ac:dyDescent="0.25">
      <c r="A24" s="173"/>
      <c r="B24" s="184"/>
      <c r="C24" s="184"/>
      <c r="D24" s="184"/>
      <c r="E24" s="188"/>
      <c r="F24" s="184"/>
      <c r="G24" s="184"/>
    </row>
    <row r="25" spans="1:7" ht="39.75" customHeight="1" x14ac:dyDescent="0.25">
      <c r="B25" s="173"/>
      <c r="C25" s="172"/>
      <c r="D25" s="172"/>
      <c r="E25" s="171"/>
    </row>
    <row r="26" spans="1:7" ht="39.75" customHeight="1" x14ac:dyDescent="0.25">
      <c r="B26" s="173"/>
      <c r="C26" s="172"/>
      <c r="D26" s="172"/>
      <c r="E26" s="171"/>
    </row>
    <row r="27" spans="1:7" ht="39.75" customHeight="1" x14ac:dyDescent="0.25">
      <c r="B27" s="173"/>
      <c r="C27" s="172"/>
      <c r="D27" s="172"/>
      <c r="E27" s="171"/>
    </row>
    <row r="28" spans="1:7" ht="39.75" customHeight="1" x14ac:dyDescent="0.25">
      <c r="A28" s="173"/>
      <c r="B28" s="174"/>
      <c r="C28" s="172"/>
      <c r="D28" s="172"/>
      <c r="E28" s="171"/>
    </row>
    <row r="29" spans="1:7" ht="39.75" customHeight="1" x14ac:dyDescent="0.25">
      <c r="B29" s="173"/>
      <c r="C29" s="172"/>
      <c r="D29" s="172"/>
      <c r="E29" s="171"/>
    </row>
    <row r="30" spans="1:7" s="169" customFormat="1" ht="22.5" customHeight="1" x14ac:dyDescent="0.2">
      <c r="A30" s="301"/>
      <c r="B30" s="301"/>
      <c r="C30" s="301"/>
      <c r="D30" s="170"/>
      <c r="E30" s="170"/>
      <c r="F30" s="301"/>
      <c r="G30" s="301"/>
    </row>
    <row r="31" spans="1:7" ht="30" customHeight="1" x14ac:dyDescent="0.2">
      <c r="A31" s="168"/>
      <c r="B31" s="168"/>
      <c r="C31" s="168"/>
      <c r="D31" s="168"/>
      <c r="F31" s="298"/>
      <c r="G31" s="166"/>
    </row>
    <row r="32" spans="1:7" s="163" customFormat="1" x14ac:dyDescent="0.25">
      <c r="C32" s="167"/>
      <c r="D32" s="167"/>
      <c r="F32" s="298"/>
      <c r="G32" s="166"/>
    </row>
    <row r="33" spans="3:5" s="163" customFormat="1" ht="15.75" x14ac:dyDescent="0.25">
      <c r="E33" s="165"/>
    </row>
    <row r="36" spans="3:5" s="163" customFormat="1" ht="15.75" x14ac:dyDescent="0.25">
      <c r="C36" s="164"/>
      <c r="D36" s="164"/>
    </row>
  </sheetData>
  <sheetProtection selectLockedCells="1"/>
  <mergeCells count="15">
    <mergeCell ref="F4:G4"/>
    <mergeCell ref="F8:G8"/>
    <mergeCell ref="A5:G5"/>
    <mergeCell ref="A6:G6"/>
    <mergeCell ref="A7:A9"/>
    <mergeCell ref="B7:B9"/>
    <mergeCell ref="C7:C9"/>
    <mergeCell ref="D7:D9"/>
    <mergeCell ref="E8:E9"/>
    <mergeCell ref="E7:G7"/>
    <mergeCell ref="F31:F32"/>
    <mergeCell ref="A18:C18"/>
    <mergeCell ref="F18:G18"/>
    <mergeCell ref="A30:C30"/>
    <mergeCell ref="F30:G30"/>
  </mergeCells>
  <printOptions horizontalCentered="1"/>
  <pageMargins left="0.7" right="0.7" top="0.75" bottom="0.75" header="0.3" footer="0.3"/>
  <pageSetup paperSize="9" scale="60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УООП</vt:lpstr>
      <vt:lpstr>График платежей</vt:lpstr>
      <vt:lpstr>УООП!Заголовки_для_печати</vt:lpstr>
      <vt:lpstr>'График платежей'!Область_печати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Морозова Елена Анатольевна</dc:creator>
  <cp:lastModifiedBy>Купрацевич Виктор Викторович</cp:lastModifiedBy>
  <cp:lastPrinted>2021-04-23T11:23:14Z</cp:lastPrinted>
  <dcterms:created xsi:type="dcterms:W3CDTF">2019-11-21T11:09:25Z</dcterms:created>
  <dcterms:modified xsi:type="dcterms:W3CDTF">2025-01-29T07:50:13Z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fWorkbookId">
    <vt:lpwstr>a10725be-7ec1-43e2-adf0-cf16b9506844</vt:lpwstr>
  </property>
</Properties>
</file>